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 Checked Files\"/>
    </mc:Choice>
  </mc:AlternateContent>
  <bookViews>
    <workbookView xWindow="0" yWindow="0" windowWidth="20490" windowHeight="7620"/>
  </bookViews>
  <sheets>
    <sheet name="FN" sheetId="2" r:id="rId1"/>
    <sheet name="CFG" sheetId="3" r:id="rId2"/>
    <sheet name="FI" sheetId="4" r:id="rId3"/>
    <sheet name="FT" sheetId="5" r:id="rId4"/>
  </sheets>
  <definedNames>
    <definedName name="_xlnm.Print_Area" localSheetId="0">FN!$A$1:$AM$54</definedName>
  </definedNames>
  <calcPr calcId="162913" calcOnSave="0"/>
</workbook>
</file>

<file path=xl/calcChain.xml><?xml version="1.0" encoding="utf-8"?>
<calcChain xmlns="http://schemas.openxmlformats.org/spreadsheetml/2006/main">
  <c r="Q35" i="2" l="1"/>
  <c r="P47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Q36" i="2" l="1"/>
  <c r="AM13" i="2" l="1"/>
  <c r="AM12" i="2"/>
  <c r="C11" i="4" l="1"/>
  <c r="N25" i="3"/>
  <c r="M25" i="3"/>
  <c r="L25" i="3"/>
  <c r="K25" i="3"/>
  <c r="J25" i="3"/>
  <c r="I25" i="3"/>
  <c r="H25" i="3"/>
  <c r="G25" i="3"/>
  <c r="F25" i="3"/>
  <c r="E25" i="3"/>
  <c r="D25" i="3"/>
  <c r="C25" i="3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D30" i="5"/>
  <c r="D22" i="5" s="1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C24" i="5"/>
  <c r="N17" i="3" l="1"/>
  <c r="M17" i="3"/>
  <c r="L17" i="3"/>
  <c r="K17" i="3"/>
  <c r="J17" i="3"/>
  <c r="I17" i="3"/>
  <c r="H17" i="3"/>
  <c r="G17" i="3"/>
  <c r="F17" i="3"/>
  <c r="E17" i="3"/>
  <c r="D17" i="3"/>
  <c r="C17" i="3"/>
  <c r="N34" i="3"/>
  <c r="M34" i="3"/>
  <c r="L34" i="3"/>
  <c r="K34" i="3"/>
  <c r="J34" i="3"/>
  <c r="I34" i="3"/>
  <c r="H34" i="3"/>
  <c r="G34" i="3"/>
  <c r="F34" i="3"/>
  <c r="E34" i="3"/>
  <c r="D34" i="3"/>
  <c r="C34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N45" i="3" l="1"/>
  <c r="M45" i="3"/>
  <c r="L45" i="3"/>
  <c r="K45" i="3"/>
  <c r="J45" i="3"/>
  <c r="I45" i="3"/>
  <c r="H45" i="3"/>
  <c r="G45" i="3"/>
  <c r="F45" i="3"/>
  <c r="E45" i="3"/>
  <c r="D45" i="3"/>
  <c r="C45" i="3"/>
  <c r="K31" i="2" l="1"/>
  <c r="J31" i="2"/>
  <c r="I31" i="2"/>
  <c r="H31" i="2"/>
  <c r="G31" i="2"/>
  <c r="F31" i="2"/>
  <c r="C31" i="2"/>
  <c r="C37" i="2"/>
  <c r="P16" i="2"/>
  <c r="C16" i="2"/>
  <c r="C9" i="2"/>
  <c r="P18" i="2" l="1"/>
  <c r="D7" i="2" l="1"/>
  <c r="D15" i="2"/>
  <c r="D16" i="2" s="1"/>
  <c r="U39" i="4" l="1"/>
  <c r="T39" i="4"/>
  <c r="S39" i="4"/>
  <c r="R39" i="4"/>
  <c r="U34" i="5"/>
  <c r="T34" i="5"/>
  <c r="S34" i="5"/>
  <c r="R34" i="5"/>
  <c r="U61" i="3"/>
  <c r="T61" i="3"/>
  <c r="S61" i="3"/>
  <c r="R61" i="3"/>
  <c r="U49" i="2"/>
  <c r="T49" i="2"/>
  <c r="S49" i="2"/>
  <c r="R49" i="2"/>
  <c r="AA50" i="2" l="1"/>
  <c r="Q18" i="2"/>
  <c r="R18" i="2" l="1"/>
  <c r="AB39" i="4"/>
  <c r="AA38" i="4"/>
  <c r="AA60" i="3"/>
  <c r="P19" i="3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P10" i="5"/>
  <c r="P13" i="4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M39" i="4"/>
  <c r="AL39" i="4"/>
  <c r="AK39" i="4"/>
  <c r="AJ39" i="4"/>
  <c r="AI39" i="4"/>
  <c r="AH39" i="4"/>
  <c r="AG39" i="4"/>
  <c r="AF39" i="4"/>
  <c r="AE39" i="4"/>
  <c r="AD39" i="4"/>
  <c r="AC39" i="4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AM61" i="3"/>
  <c r="AL61" i="3"/>
  <c r="AK61" i="3"/>
  <c r="AJ61" i="3"/>
  <c r="AI61" i="3"/>
  <c r="AH61" i="3"/>
  <c r="AG61" i="3"/>
  <c r="AF61" i="3"/>
  <c r="AE61" i="3"/>
  <c r="AD61" i="3"/>
  <c r="AC61" i="3"/>
  <c r="AB61" i="3"/>
  <c r="Q10" i="5" l="1"/>
  <c r="AA33" i="5"/>
  <c r="AB19" i="3"/>
  <c r="AC19" i="3" s="1"/>
  <c r="AD19" i="3" s="1"/>
  <c r="AE19" i="3" s="1"/>
  <c r="AF19" i="3" s="1"/>
  <c r="AG19" i="3" s="1"/>
  <c r="AH19" i="3" s="1"/>
  <c r="AI19" i="3" s="1"/>
  <c r="AJ19" i="3" s="1"/>
  <c r="AK19" i="3" s="1"/>
  <c r="AL19" i="3" s="1"/>
  <c r="AM19" i="3" s="1"/>
  <c r="AB13" i="4"/>
  <c r="AC13" i="4" s="1"/>
  <c r="AD13" i="4" s="1"/>
  <c r="AE13" i="4" s="1"/>
  <c r="AF13" i="4" s="1"/>
  <c r="AG13" i="4" s="1"/>
  <c r="AH13" i="4" s="1"/>
  <c r="AI13" i="4" s="1"/>
  <c r="AJ13" i="4" s="1"/>
  <c r="AK13" i="4" s="1"/>
  <c r="AL13" i="4" s="1"/>
  <c r="AM13" i="4" s="1"/>
  <c r="R10" i="5" l="1"/>
  <c r="AA63" i="3"/>
  <c r="AA66" i="3" s="1"/>
  <c r="Z63" i="3"/>
  <c r="Z66" i="3" s="1"/>
  <c r="Y63" i="3"/>
  <c r="Y66" i="3" s="1"/>
  <c r="X63" i="3"/>
  <c r="X66" i="3" s="1"/>
  <c r="W63" i="3"/>
  <c r="W66" i="3" s="1"/>
  <c r="V63" i="3"/>
  <c r="V66" i="3" s="1"/>
  <c r="U63" i="3"/>
  <c r="U66" i="3" s="1"/>
  <c r="T63" i="3"/>
  <c r="T66" i="3" s="1"/>
  <c r="S63" i="3"/>
  <c r="S66" i="3" s="1"/>
  <c r="R63" i="3"/>
  <c r="R66" i="3" s="1"/>
  <c r="Q63" i="3"/>
  <c r="Q66" i="3" s="1"/>
  <c r="P63" i="3"/>
  <c r="P66" i="3" s="1"/>
  <c r="S10" i="5" l="1"/>
  <c r="S18" i="2"/>
  <c r="T10" i="5" l="1"/>
  <c r="T18" i="2"/>
  <c r="U18" i="2" s="1"/>
  <c r="V18" i="2" s="1"/>
  <c r="W18" i="2" s="1"/>
  <c r="X18" i="2" s="1"/>
  <c r="Y18" i="2" s="1"/>
  <c r="Z18" i="2" s="1"/>
  <c r="AA18" i="2" s="1"/>
  <c r="AJ49" i="2"/>
  <c r="AF49" i="2"/>
  <c r="AB49" i="2"/>
  <c r="AH49" i="2"/>
  <c r="AD49" i="2"/>
  <c r="AG49" i="2"/>
  <c r="AM49" i="2"/>
  <c r="AI49" i="2"/>
  <c r="AE49" i="2"/>
  <c r="AL49" i="2"/>
  <c r="AK49" i="2"/>
  <c r="AC49" i="2"/>
  <c r="AB18" i="2" l="1"/>
  <c r="U10" i="5"/>
  <c r="AP18" i="2"/>
  <c r="AC18" i="2"/>
  <c r="AD18" i="2" s="1"/>
  <c r="AE18" i="2" s="1"/>
  <c r="AF18" i="2" s="1"/>
  <c r="AG18" i="2" s="1"/>
  <c r="AH18" i="2" s="1"/>
  <c r="AI18" i="2" s="1"/>
  <c r="AB17" i="5"/>
  <c r="AB12" i="3"/>
  <c r="AB13" i="2"/>
  <c r="AC17" i="5" l="1"/>
  <c r="AB19" i="5"/>
  <c r="V10" i="5"/>
  <c r="AC12" i="3"/>
  <c r="AC63" i="3" s="1"/>
  <c r="AC66" i="3" s="1"/>
  <c r="AB63" i="3"/>
  <c r="AB66" i="3" s="1"/>
  <c r="AC13" i="2"/>
  <c r="AD13" i="2" s="1"/>
  <c r="AE13" i="2" s="1"/>
  <c r="AF13" i="2" s="1"/>
  <c r="AG13" i="2" s="1"/>
  <c r="AH13" i="2" s="1"/>
  <c r="AI13" i="2" s="1"/>
  <c r="AJ13" i="2" s="1"/>
  <c r="AK13" i="2" s="1"/>
  <c r="AL13" i="2" s="1"/>
  <c r="AJ18" i="2"/>
  <c r="AK18" i="2" s="1"/>
  <c r="AL18" i="2" s="1"/>
  <c r="AM18" i="2" s="1"/>
  <c r="AB8" i="5"/>
  <c r="AC8" i="5" s="1"/>
  <c r="AD8" i="5" s="1"/>
  <c r="AE8" i="5" s="1"/>
  <c r="AF8" i="5" s="1"/>
  <c r="AG8" i="5" s="1"/>
  <c r="AH8" i="5" s="1"/>
  <c r="AI8" i="5" s="1"/>
  <c r="AJ8" i="5" s="1"/>
  <c r="AK8" i="5" s="1"/>
  <c r="AL8" i="5" s="1"/>
  <c r="AM8" i="5" s="1"/>
  <c r="AB6" i="3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B12" i="2"/>
  <c r="AD12" i="3" l="1"/>
  <c r="AE12" i="3" s="1"/>
  <c r="AD17" i="5"/>
  <c r="AC19" i="5"/>
  <c r="W10" i="5"/>
  <c r="AQ18" i="2"/>
  <c r="AC12" i="2"/>
  <c r="AD63" i="3"/>
  <c r="AD66" i="3" s="1"/>
  <c r="AE17" i="5" l="1"/>
  <c r="AD19" i="5"/>
  <c r="X10" i="5"/>
  <c r="AD12" i="2"/>
  <c r="AC25" i="2"/>
  <c r="AF12" i="3"/>
  <c r="AE63" i="3"/>
  <c r="AE66" i="3" s="1"/>
  <c r="AF17" i="5" l="1"/>
  <c r="AE19" i="5"/>
  <c r="Y10" i="5"/>
  <c r="AD25" i="2"/>
  <c r="AE12" i="2"/>
  <c r="AG12" i="3"/>
  <c r="AF63" i="3"/>
  <c r="AF66" i="3" s="1"/>
  <c r="O23" i="2"/>
  <c r="AG17" i="5" l="1"/>
  <c r="AF19" i="5"/>
  <c r="Z10" i="5"/>
  <c r="AE25" i="2"/>
  <c r="AF12" i="2"/>
  <c r="AH12" i="3"/>
  <c r="AG63" i="3"/>
  <c r="AG66" i="3" s="1"/>
  <c r="AH17" i="5" l="1"/>
  <c r="AG19" i="5"/>
  <c r="AA10" i="5"/>
  <c r="AF25" i="2"/>
  <c r="AG12" i="2"/>
  <c r="AI12" i="3"/>
  <c r="AH63" i="3"/>
  <c r="AH66" i="3" s="1"/>
  <c r="AI17" i="5" l="1"/>
  <c r="AH19" i="5"/>
  <c r="AB10" i="5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G25" i="2"/>
  <c r="AH12" i="2"/>
  <c r="AJ12" i="3"/>
  <c r="AI63" i="3"/>
  <c r="AI66" i="3" s="1"/>
  <c r="AJ17" i="5" l="1"/>
  <c r="AI19" i="5"/>
  <c r="AH25" i="2"/>
  <c r="AI12" i="2"/>
  <c r="AK12" i="3"/>
  <c r="AJ63" i="3"/>
  <c r="AJ66" i="3" s="1"/>
  <c r="AK17" i="5" l="1"/>
  <c r="AJ19" i="5"/>
  <c r="AI25" i="2"/>
  <c r="AJ12" i="2"/>
  <c r="AL12" i="3"/>
  <c r="AK63" i="3"/>
  <c r="AK66" i="3" s="1"/>
  <c r="AL17" i="5" l="1"/>
  <c r="AK19" i="5"/>
  <c r="AJ25" i="2"/>
  <c r="AK12" i="2"/>
  <c r="AL63" i="3"/>
  <c r="AL66" i="3" s="1"/>
  <c r="AM63" i="3"/>
  <c r="AM66" i="3" s="1"/>
  <c r="AM17" i="5" l="1"/>
  <c r="AM19" i="5" s="1"/>
  <c r="AL19" i="5"/>
  <c r="AK25" i="2"/>
  <c r="AL12" i="2"/>
  <c r="AL25" i="2" l="1"/>
  <c r="AM25" i="2" l="1"/>
  <c r="H18" i="2"/>
  <c r="AO18" i="2" l="1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O56" i="3" l="1"/>
  <c r="D24" i="2" l="1"/>
  <c r="E7" i="2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E15" i="2"/>
  <c r="E24" i="2" l="1"/>
  <c r="E31" i="2" s="1"/>
  <c r="D31" i="2"/>
  <c r="F15" i="2"/>
  <c r="E16" i="2"/>
  <c r="G15" i="2" l="1"/>
  <c r="F16" i="2"/>
  <c r="H15" i="2" l="1"/>
  <c r="G16" i="2"/>
  <c r="I15" i="2" l="1"/>
  <c r="H16" i="2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J15" i="2" l="1"/>
  <c r="I16" i="2"/>
  <c r="D26" i="4"/>
  <c r="E26" i="4" s="1"/>
  <c r="F26" i="4" s="1"/>
  <c r="G26" i="4" s="1"/>
  <c r="H26" i="4" s="1"/>
  <c r="I26" i="4" s="1"/>
  <c r="J26" i="4" s="1"/>
  <c r="K26" i="4" s="1"/>
  <c r="L26" i="4" s="1"/>
  <c r="M26" i="4" s="1"/>
  <c r="N26" i="4" s="1"/>
  <c r="O26" i="4" s="1"/>
  <c r="D23" i="5"/>
  <c r="E23" i="5" s="1"/>
  <c r="D25" i="4"/>
  <c r="E25" i="4" s="1"/>
  <c r="F25" i="4" s="1"/>
  <c r="G25" i="4" s="1"/>
  <c r="H25" i="4" s="1"/>
  <c r="I25" i="4" s="1"/>
  <c r="J25" i="4" s="1"/>
  <c r="K25" i="4" s="1"/>
  <c r="L25" i="4" s="1"/>
  <c r="M25" i="4" s="1"/>
  <c r="N25" i="4" s="1"/>
  <c r="O25" i="4" s="1"/>
  <c r="O45" i="2"/>
  <c r="N45" i="2"/>
  <c r="M45" i="2"/>
  <c r="L45" i="2"/>
  <c r="K45" i="2"/>
  <c r="J45" i="2"/>
  <c r="I45" i="2"/>
  <c r="H45" i="2"/>
  <c r="G45" i="2"/>
  <c r="F45" i="2"/>
  <c r="E45" i="2"/>
  <c r="D45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D24" i="5" l="1"/>
  <c r="E22" i="5"/>
  <c r="E24" i="5" s="1"/>
  <c r="K15" i="2"/>
  <c r="J16" i="2"/>
  <c r="O43" i="3"/>
  <c r="F22" i="5"/>
  <c r="F23" i="5"/>
  <c r="G22" i="5" l="1"/>
  <c r="F24" i="5"/>
  <c r="P43" i="3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AL43" i="3" s="1"/>
  <c r="AM43" i="3" s="1"/>
  <c r="L15" i="2"/>
  <c r="K16" i="2"/>
  <c r="G23" i="5"/>
  <c r="D47" i="2"/>
  <c r="E47" i="2"/>
  <c r="F47" i="2"/>
  <c r="G47" i="2"/>
  <c r="H47" i="2"/>
  <c r="I47" i="2"/>
  <c r="J47" i="2"/>
  <c r="K47" i="2"/>
  <c r="L47" i="2"/>
  <c r="M47" i="2"/>
  <c r="N47" i="2"/>
  <c r="O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H22" i="5" l="1"/>
  <c r="G24" i="5"/>
  <c r="M15" i="2"/>
  <c r="L16" i="2"/>
  <c r="H23" i="5"/>
  <c r="I22" i="5" l="1"/>
  <c r="H24" i="5"/>
  <c r="D37" i="2"/>
  <c r="N15" i="2"/>
  <c r="M16" i="2"/>
  <c r="I23" i="5"/>
  <c r="J22" i="5" l="1"/>
  <c r="I24" i="5"/>
  <c r="E37" i="2"/>
  <c r="O15" i="2"/>
  <c r="O16" i="2" s="1"/>
  <c r="N16" i="2"/>
  <c r="J23" i="5"/>
  <c r="K22" i="5" l="1"/>
  <c r="J24" i="5"/>
  <c r="AO16" i="2"/>
  <c r="F37" i="2"/>
  <c r="K23" i="5"/>
  <c r="P26" i="4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P25" i="4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L22" i="5" l="1"/>
  <c r="K24" i="5"/>
  <c r="G37" i="2"/>
  <c r="L23" i="5"/>
  <c r="M22" i="5" l="1"/>
  <c r="L24" i="5"/>
  <c r="H37" i="2"/>
  <c r="M23" i="5"/>
  <c r="N22" i="5" l="1"/>
  <c r="M24" i="5"/>
  <c r="I37" i="2"/>
  <c r="N23" i="5"/>
  <c r="O22" i="5" l="1"/>
  <c r="N24" i="5"/>
  <c r="J37" i="2"/>
  <c r="O23" i="5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AD23" i="5" s="1"/>
  <c r="AE23" i="5" s="1"/>
  <c r="AF23" i="5" s="1"/>
  <c r="AG23" i="5" s="1"/>
  <c r="AH23" i="5" s="1"/>
  <c r="AI23" i="5" s="1"/>
  <c r="AJ23" i="5" s="1"/>
  <c r="AK23" i="5" s="1"/>
  <c r="AL23" i="5" s="1"/>
  <c r="AM23" i="5" s="1"/>
  <c r="P22" i="5" l="1"/>
  <c r="O24" i="5"/>
  <c r="K37" i="2"/>
  <c r="Q22" i="5" l="1"/>
  <c r="P24" i="5"/>
  <c r="L37" i="2"/>
  <c r="O44" i="3"/>
  <c r="O45" i="3" s="1"/>
  <c r="R22" i="5" l="1"/>
  <c r="Q24" i="5"/>
  <c r="M37" i="2"/>
  <c r="P44" i="3"/>
  <c r="P45" i="3" s="1"/>
  <c r="S22" i="5" l="1"/>
  <c r="R24" i="5"/>
  <c r="N37" i="2"/>
  <c r="Q44" i="3"/>
  <c r="Q45" i="3" s="1"/>
  <c r="T22" i="5" l="1"/>
  <c r="S24" i="5"/>
  <c r="R35" i="2"/>
  <c r="O37" i="2"/>
  <c r="R44" i="3"/>
  <c r="R45" i="3" s="1"/>
  <c r="U22" i="5" l="1"/>
  <c r="T24" i="5"/>
  <c r="P37" i="2"/>
  <c r="S35" i="2"/>
  <c r="S44" i="3"/>
  <c r="S45" i="3" s="1"/>
  <c r="V22" i="5" l="1"/>
  <c r="U24" i="5"/>
  <c r="T35" i="2"/>
  <c r="R36" i="2"/>
  <c r="Q37" i="2"/>
  <c r="T44" i="3"/>
  <c r="T45" i="3" s="1"/>
  <c r="W22" i="5" l="1"/>
  <c r="V24" i="5"/>
  <c r="U35" i="2"/>
  <c r="S36" i="2"/>
  <c r="R37" i="2"/>
  <c r="U44" i="3"/>
  <c r="U45" i="3" s="1"/>
  <c r="X22" i="5" l="1"/>
  <c r="W24" i="5"/>
  <c r="T36" i="2"/>
  <c r="S37" i="2"/>
  <c r="V35" i="2"/>
  <c r="V44" i="3"/>
  <c r="V45" i="3" s="1"/>
  <c r="Y22" i="5" l="1"/>
  <c r="X24" i="5"/>
  <c r="W35" i="2"/>
  <c r="U36" i="2"/>
  <c r="T37" i="2"/>
  <c r="W44" i="3"/>
  <c r="W45" i="3" s="1"/>
  <c r="Z22" i="5" l="1"/>
  <c r="Y24" i="5"/>
  <c r="V36" i="2"/>
  <c r="U37" i="2"/>
  <c r="X35" i="2"/>
  <c r="X44" i="3"/>
  <c r="X45" i="3" s="1"/>
  <c r="AA22" i="5" l="1"/>
  <c r="Z24" i="5"/>
  <c r="Y35" i="2"/>
  <c r="W36" i="2"/>
  <c r="V37" i="2"/>
  <c r="Y44" i="3"/>
  <c r="Y45" i="3" s="1"/>
  <c r="AB22" i="5" l="1"/>
  <c r="AA24" i="5"/>
  <c r="X36" i="2"/>
  <c r="W37" i="2"/>
  <c r="Z35" i="2"/>
  <c r="Z44" i="3"/>
  <c r="Z45" i="3" s="1"/>
  <c r="AC22" i="5" l="1"/>
  <c r="AB24" i="5"/>
  <c r="AA35" i="2"/>
  <c r="Y36" i="2"/>
  <c r="X37" i="2"/>
  <c r="AA44" i="3"/>
  <c r="AA45" i="3" s="1"/>
  <c r="AD22" i="5" l="1"/>
  <c r="AC24" i="5"/>
  <c r="AB35" i="2"/>
  <c r="Z36" i="2"/>
  <c r="Y37" i="2"/>
  <c r="AB44" i="3"/>
  <c r="AB45" i="3" s="1"/>
  <c r="AE22" i="5" l="1"/>
  <c r="AD24" i="5"/>
  <c r="AA36" i="2"/>
  <c r="Z37" i="2"/>
  <c r="AC35" i="2"/>
  <c r="AC44" i="3"/>
  <c r="AC45" i="3" s="1"/>
  <c r="AF22" i="5" l="1"/>
  <c r="AE24" i="5"/>
  <c r="AD35" i="2"/>
  <c r="AB36" i="2"/>
  <c r="AA37" i="2"/>
  <c r="AD44" i="3"/>
  <c r="AD45" i="3" s="1"/>
  <c r="AG22" i="5" l="1"/>
  <c r="AF24" i="5"/>
  <c r="AC36" i="2"/>
  <c r="AB37" i="2"/>
  <c r="AE35" i="2"/>
  <c r="AE44" i="3"/>
  <c r="AE45" i="3" s="1"/>
  <c r="AH22" i="5" l="1"/>
  <c r="AG24" i="5"/>
  <c r="AF35" i="2"/>
  <c r="AD36" i="2"/>
  <c r="AC37" i="2"/>
  <c r="AF44" i="3"/>
  <c r="AF45" i="3" s="1"/>
  <c r="AI22" i="5" l="1"/>
  <c r="AH24" i="5"/>
  <c r="AE36" i="2"/>
  <c r="AD37" i="2"/>
  <c r="AG35" i="2"/>
  <c r="AG44" i="3"/>
  <c r="AG45" i="3" s="1"/>
  <c r="AJ22" i="5" l="1"/>
  <c r="AI24" i="5"/>
  <c r="AH35" i="2"/>
  <c r="AF36" i="2"/>
  <c r="AE37" i="2"/>
  <c r="AH44" i="3"/>
  <c r="AH45" i="3" s="1"/>
  <c r="AK22" i="5" l="1"/>
  <c r="AJ24" i="5"/>
  <c r="AG36" i="2"/>
  <c r="AF37" i="2"/>
  <c r="AI35" i="2"/>
  <c r="AI44" i="3"/>
  <c r="AI45" i="3" s="1"/>
  <c r="AL22" i="5" l="1"/>
  <c r="AK24" i="5"/>
  <c r="AJ35" i="2"/>
  <c r="AH36" i="2"/>
  <c r="AG37" i="2"/>
  <c r="AJ44" i="3"/>
  <c r="AJ45" i="3" s="1"/>
  <c r="AM22" i="5" l="1"/>
  <c r="AM24" i="5" s="1"/>
  <c r="AL24" i="5"/>
  <c r="AI36" i="2"/>
  <c r="AH37" i="2"/>
  <c r="AK35" i="2"/>
  <c r="AK44" i="3"/>
  <c r="AK45" i="3" s="1"/>
  <c r="AL35" i="2" l="1"/>
  <c r="AJ36" i="2"/>
  <c r="AI37" i="2"/>
  <c r="AL44" i="3"/>
  <c r="AL45" i="3" s="1"/>
  <c r="AK36" i="2" l="1"/>
  <c r="AJ37" i="2"/>
  <c r="AM35" i="2"/>
  <c r="AM44" i="3"/>
  <c r="AM45" i="3" s="1"/>
  <c r="AL36" i="2" l="1"/>
  <c r="AK37" i="2"/>
  <c r="AM36" i="2" l="1"/>
  <c r="AM37" i="2" s="1"/>
  <c r="AL37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X24" i="2" l="1"/>
  <c r="X31" i="2" s="1"/>
  <c r="L24" i="2"/>
  <c r="L31" i="2" s="1"/>
  <c r="AB24" i="2"/>
  <c r="AB31" i="2" s="1"/>
  <c r="N24" i="2"/>
  <c r="N31" i="2" s="1"/>
  <c r="R24" i="2"/>
  <c r="R31" i="2" s="1"/>
  <c r="V24" i="2"/>
  <c r="V31" i="2" s="1"/>
  <c r="Z24" i="2"/>
  <c r="Z31" i="2" s="1"/>
  <c r="AD24" i="2"/>
  <c r="AD31" i="2" s="1"/>
  <c r="AH24" i="2"/>
  <c r="AH31" i="2" s="1"/>
  <c r="AL24" i="2"/>
  <c r="P24" i="2"/>
  <c r="P31" i="2" s="1"/>
  <c r="AF24" i="2"/>
  <c r="AF31" i="2" s="1"/>
  <c r="T24" i="2"/>
  <c r="T31" i="2" s="1"/>
  <c r="AJ24" i="2"/>
  <c r="AJ31" i="2" s="1"/>
  <c r="M24" i="2"/>
  <c r="M31" i="2" s="1"/>
  <c r="Q24" i="2"/>
  <c r="Q31" i="2" s="1"/>
  <c r="U24" i="2"/>
  <c r="U31" i="2" s="1"/>
  <c r="Y24" i="2"/>
  <c r="Y31" i="2" s="1"/>
  <c r="AC24" i="2"/>
  <c r="AC31" i="2" s="1"/>
  <c r="AG24" i="2"/>
  <c r="AG31" i="2" s="1"/>
  <c r="AK24" i="2"/>
  <c r="AK31" i="2" s="1"/>
  <c r="O24" i="2"/>
  <c r="S24" i="2"/>
  <c r="S31" i="2" s="1"/>
  <c r="W24" i="2"/>
  <c r="W31" i="2" s="1"/>
  <c r="AA24" i="2"/>
  <c r="AA31" i="2" s="1"/>
  <c r="AE24" i="2"/>
  <c r="AE31" i="2" s="1"/>
  <c r="AI24" i="2"/>
  <c r="AI31" i="2" s="1"/>
  <c r="AM24" i="2"/>
  <c r="AM31" i="2" l="1"/>
  <c r="AL31" i="2"/>
  <c r="O31" i="2"/>
  <c r="AP31" i="2" s="1"/>
  <c r="AQ31" i="2" l="1"/>
  <c r="AO31" i="2"/>
  <c r="O23" i="3" l="1"/>
  <c r="O25" i="3" s="1"/>
  <c r="P23" i="3" l="1"/>
  <c r="P25" i="3" s="1"/>
  <c r="Q23" i="3" l="1"/>
  <c r="Q25" i="3" s="1"/>
  <c r="R23" i="3" l="1"/>
  <c r="R25" i="3" s="1"/>
  <c r="S23" i="3" l="1"/>
  <c r="S25" i="3" s="1"/>
  <c r="T23" i="3" l="1"/>
  <c r="T25" i="3" s="1"/>
  <c r="U23" i="3" l="1"/>
  <c r="U25" i="3" s="1"/>
  <c r="V23" i="3" l="1"/>
  <c r="V25" i="3" s="1"/>
  <c r="W23" i="3" l="1"/>
  <c r="W25" i="3" s="1"/>
  <c r="X23" i="3" l="1"/>
  <c r="X25" i="3" s="1"/>
  <c r="Y23" i="3" l="1"/>
  <c r="Y25" i="3" s="1"/>
  <c r="Z23" i="3" l="1"/>
  <c r="Z25" i="3" s="1"/>
  <c r="AA23" i="3" l="1"/>
  <c r="AA25" i="3" s="1"/>
  <c r="AB23" i="3" l="1"/>
  <c r="AB25" i="3" s="1"/>
  <c r="AC23" i="3" l="1"/>
  <c r="AC25" i="3" s="1"/>
  <c r="AD23" i="3" l="1"/>
  <c r="AD25" i="3" s="1"/>
  <c r="AE23" i="3" l="1"/>
  <c r="AE25" i="3" s="1"/>
  <c r="AF23" i="3" l="1"/>
  <c r="AF25" i="3" s="1"/>
  <c r="AG23" i="3" l="1"/>
  <c r="AG25" i="3" s="1"/>
  <c r="AH23" i="3" l="1"/>
  <c r="AH25" i="3" s="1"/>
  <c r="D10" i="4"/>
  <c r="D11" i="4" s="1"/>
  <c r="AI23" i="3" l="1"/>
  <c r="AI25" i="3" s="1"/>
  <c r="E10" i="4"/>
  <c r="E11" i="4" s="1"/>
  <c r="AJ23" i="3" l="1"/>
  <c r="AJ25" i="3" s="1"/>
  <c r="F10" i="4"/>
  <c r="F11" i="4" s="1"/>
  <c r="AK23" i="3" l="1"/>
  <c r="AK25" i="3" s="1"/>
  <c r="G10" i="4"/>
  <c r="G11" i="4" s="1"/>
  <c r="AL23" i="3" l="1"/>
  <c r="AL25" i="3" s="1"/>
  <c r="H10" i="4"/>
  <c r="H11" i="4" s="1"/>
  <c r="AM23" i="3" l="1"/>
  <c r="AM25" i="3" s="1"/>
  <c r="I10" i="4"/>
  <c r="I11" i="4" s="1"/>
  <c r="J10" i="4" l="1"/>
  <c r="J11" i="4" s="1"/>
  <c r="K10" i="4" l="1"/>
  <c r="K11" i="4" s="1"/>
  <c r="L10" i="4" l="1"/>
  <c r="L11" i="4" s="1"/>
  <c r="M10" i="4" l="1"/>
  <c r="M11" i="4" s="1"/>
  <c r="N10" i="4" l="1"/>
  <c r="N11" i="4" s="1"/>
  <c r="O10" i="4" l="1"/>
  <c r="O11" i="4" s="1"/>
  <c r="P10" i="4" l="1"/>
  <c r="P11" i="4" s="1"/>
  <c r="Q10" i="4" l="1"/>
  <c r="Q11" i="4" s="1"/>
  <c r="R10" i="4" l="1"/>
  <c r="R11" i="4" s="1"/>
  <c r="S10" i="4" l="1"/>
  <c r="S11" i="4" s="1"/>
  <c r="T10" i="4" l="1"/>
  <c r="T11" i="4" s="1"/>
  <c r="U10" i="4" l="1"/>
  <c r="U11" i="4" s="1"/>
  <c r="V10" i="4" l="1"/>
  <c r="V11" i="4" s="1"/>
  <c r="W10" i="4" l="1"/>
  <c r="W11" i="4" s="1"/>
  <c r="X10" i="4" l="1"/>
  <c r="X11" i="4" s="1"/>
  <c r="Y10" i="4" l="1"/>
  <c r="Y11" i="4" s="1"/>
  <c r="Z10" i="4" l="1"/>
  <c r="Z11" i="4" s="1"/>
  <c r="O31" i="3" l="1"/>
  <c r="AA10" i="4"/>
  <c r="AA11" i="4" s="1"/>
  <c r="O34" i="3" l="1"/>
  <c r="P31" i="3"/>
  <c r="AB10" i="4"/>
  <c r="AB11" i="4" s="1"/>
  <c r="D6" i="2"/>
  <c r="D9" i="2" s="1"/>
  <c r="P34" i="3" l="1"/>
  <c r="Q31" i="3"/>
  <c r="AC10" i="4"/>
  <c r="AC11" i="4" s="1"/>
  <c r="E6" i="2"/>
  <c r="E9" i="2" s="1"/>
  <c r="Q34" i="3" l="1"/>
  <c r="R31" i="3"/>
  <c r="AD10" i="4"/>
  <c r="AD11" i="4" s="1"/>
  <c r="F6" i="2"/>
  <c r="F9" i="2" s="1"/>
  <c r="R34" i="3" l="1"/>
  <c r="S31" i="3"/>
  <c r="AE10" i="4"/>
  <c r="AE11" i="4" s="1"/>
  <c r="G6" i="2"/>
  <c r="G9" i="2" s="1"/>
  <c r="S34" i="3" l="1"/>
  <c r="T31" i="3"/>
  <c r="AF10" i="4"/>
  <c r="AF11" i="4" s="1"/>
  <c r="H6" i="2"/>
  <c r="H9" i="2" s="1"/>
  <c r="T34" i="3" l="1"/>
  <c r="U31" i="3"/>
  <c r="AG10" i="4"/>
  <c r="AG11" i="4" s="1"/>
  <c r="I6" i="2"/>
  <c r="I9" i="2" s="1"/>
  <c r="U34" i="3" l="1"/>
  <c r="V31" i="3"/>
  <c r="AH10" i="4"/>
  <c r="AH11" i="4" s="1"/>
  <c r="J6" i="2"/>
  <c r="J9" i="2" s="1"/>
  <c r="V34" i="3" l="1"/>
  <c r="W31" i="3"/>
  <c r="AI10" i="4"/>
  <c r="AI11" i="4" s="1"/>
  <c r="K6" i="2"/>
  <c r="K9" i="2" s="1"/>
  <c r="W34" i="3" l="1"/>
  <c r="X31" i="3"/>
  <c r="D18" i="4"/>
  <c r="AJ10" i="4"/>
  <c r="AJ11" i="4" s="1"/>
  <c r="L6" i="2"/>
  <c r="L9" i="2" s="1"/>
  <c r="X34" i="3" l="1"/>
  <c r="Y31" i="3"/>
  <c r="E18" i="4"/>
  <c r="D19" i="4"/>
  <c r="AK10" i="4"/>
  <c r="AK11" i="4" s="1"/>
  <c r="M6" i="2"/>
  <c r="M9" i="2" s="1"/>
  <c r="Y34" i="3" l="1"/>
  <c r="Z31" i="3"/>
  <c r="F18" i="4"/>
  <c r="E19" i="4"/>
  <c r="AL10" i="4"/>
  <c r="AL11" i="4" s="1"/>
  <c r="N6" i="2"/>
  <c r="N9" i="2" s="1"/>
  <c r="Z34" i="3" l="1"/>
  <c r="AA31" i="3"/>
  <c r="G18" i="4"/>
  <c r="F19" i="4"/>
  <c r="AM10" i="4"/>
  <c r="AM11" i="4" s="1"/>
  <c r="O14" i="3"/>
  <c r="P14" i="3" s="1"/>
  <c r="O6" i="2"/>
  <c r="O9" i="2" s="1"/>
  <c r="AO9" i="2" l="1"/>
  <c r="AA34" i="3"/>
  <c r="AB31" i="3"/>
  <c r="G19" i="4"/>
  <c r="H18" i="4"/>
  <c r="P6" i="2"/>
  <c r="P9" i="2" s="1"/>
  <c r="AB34" i="3" l="1"/>
  <c r="AC31" i="3"/>
  <c r="H19" i="4"/>
  <c r="I18" i="4"/>
  <c r="Q14" i="3"/>
  <c r="Q6" i="2"/>
  <c r="Q9" i="2" s="1"/>
  <c r="AC34" i="3" l="1"/>
  <c r="O48" i="3"/>
  <c r="AD31" i="3"/>
  <c r="J18" i="4"/>
  <c r="I19" i="4"/>
  <c r="R14" i="3"/>
  <c r="R6" i="2"/>
  <c r="R9" i="2" s="1"/>
  <c r="AD34" i="3" l="1"/>
  <c r="P48" i="3"/>
  <c r="AE31" i="3"/>
  <c r="K18" i="4"/>
  <c r="J19" i="4"/>
  <c r="S14" i="3"/>
  <c r="S6" i="2"/>
  <c r="S9" i="2" s="1"/>
  <c r="AE34" i="3" l="1"/>
  <c r="Q48" i="3"/>
  <c r="AF31" i="3"/>
  <c r="L18" i="4"/>
  <c r="K19" i="4"/>
  <c r="T14" i="3"/>
  <c r="T6" i="2"/>
  <c r="T9" i="2" s="1"/>
  <c r="AF34" i="3" l="1"/>
  <c r="R48" i="3"/>
  <c r="AG31" i="3"/>
  <c r="M18" i="4"/>
  <c r="L19" i="4"/>
  <c r="U14" i="3"/>
  <c r="U6" i="2"/>
  <c r="U9" i="2" s="1"/>
  <c r="AG34" i="3" l="1"/>
  <c r="S48" i="3"/>
  <c r="AH31" i="3"/>
  <c r="M19" i="4"/>
  <c r="N18" i="4"/>
  <c r="V14" i="3"/>
  <c r="V6" i="2"/>
  <c r="V9" i="2" s="1"/>
  <c r="AH34" i="3" l="1"/>
  <c r="T48" i="3"/>
  <c r="AI31" i="3"/>
  <c r="O18" i="4"/>
  <c r="N19" i="4"/>
  <c r="W14" i="3"/>
  <c r="W6" i="2"/>
  <c r="W9" i="2" s="1"/>
  <c r="AI34" i="3" l="1"/>
  <c r="U48" i="3"/>
  <c r="AJ31" i="3"/>
  <c r="P18" i="4"/>
  <c r="O19" i="4"/>
  <c r="X14" i="3"/>
  <c r="X6" i="2"/>
  <c r="X9" i="2" s="1"/>
  <c r="AJ34" i="3" l="1"/>
  <c r="V48" i="3"/>
  <c r="AK31" i="3"/>
  <c r="Q18" i="4"/>
  <c r="P19" i="4"/>
  <c r="Y14" i="3"/>
  <c r="Y6" i="2"/>
  <c r="Y9" i="2" s="1"/>
  <c r="AK34" i="3" l="1"/>
  <c r="W48" i="3"/>
  <c r="AL31" i="3"/>
  <c r="R18" i="4"/>
  <c r="Q19" i="4"/>
  <c r="Z14" i="3"/>
  <c r="Z6" i="2"/>
  <c r="Z9" i="2" s="1"/>
  <c r="AL34" i="3" l="1"/>
  <c r="X48" i="3"/>
  <c r="AM31" i="3"/>
  <c r="AM34" i="3" s="1"/>
  <c r="S18" i="4"/>
  <c r="R19" i="4"/>
  <c r="AA14" i="3"/>
  <c r="AA6" i="2"/>
  <c r="AA9" i="2" s="1"/>
  <c r="AP9" i="2" l="1"/>
  <c r="O13" i="3"/>
  <c r="Y48" i="3"/>
  <c r="T18" i="4"/>
  <c r="S19" i="4"/>
  <c r="AB14" i="3"/>
  <c r="AB6" i="2"/>
  <c r="AB9" i="2" s="1"/>
  <c r="O17" i="3" l="1"/>
  <c r="P13" i="3"/>
  <c r="P17" i="3" s="1"/>
  <c r="O63" i="3"/>
  <c r="O66" i="3" s="1"/>
  <c r="Z48" i="3"/>
  <c r="U18" i="4"/>
  <c r="T19" i="4"/>
  <c r="AC14" i="3"/>
  <c r="AC6" i="2"/>
  <c r="AC9" i="2" s="1"/>
  <c r="AA48" i="3" l="1"/>
  <c r="U19" i="4"/>
  <c r="V18" i="4"/>
  <c r="AD14" i="3"/>
  <c r="AD6" i="2"/>
  <c r="AD9" i="2" s="1"/>
  <c r="AB48" i="3" l="1"/>
  <c r="W18" i="4"/>
  <c r="V19" i="4"/>
  <c r="AE14" i="3"/>
  <c r="AE6" i="2"/>
  <c r="AE9" i="2" s="1"/>
  <c r="AC48" i="3" l="1"/>
  <c r="X18" i="4"/>
  <c r="W19" i="4"/>
  <c r="AF14" i="3"/>
  <c r="AF6" i="2"/>
  <c r="AF9" i="2" s="1"/>
  <c r="AD48" i="3" l="1"/>
  <c r="X19" i="4"/>
  <c r="Y18" i="4"/>
  <c r="AG14" i="3"/>
  <c r="AG6" i="2"/>
  <c r="AG9" i="2" s="1"/>
  <c r="AE48" i="3" l="1"/>
  <c r="Z18" i="4"/>
  <c r="Y19" i="4"/>
  <c r="AH14" i="3"/>
  <c r="AH6" i="2"/>
  <c r="AH9" i="2" s="1"/>
  <c r="AF48" i="3" l="1"/>
  <c r="AA18" i="4"/>
  <c r="Z19" i="4"/>
  <c r="AI14" i="3"/>
  <c r="Q13" i="3"/>
  <c r="Q17" i="3" s="1"/>
  <c r="AI6" i="2"/>
  <c r="AI9" i="2" s="1"/>
  <c r="AG48" i="3" l="1"/>
  <c r="AB18" i="4"/>
  <c r="AA19" i="4"/>
  <c r="AJ14" i="3"/>
  <c r="R13" i="3"/>
  <c r="R17" i="3" s="1"/>
  <c r="AJ6" i="2"/>
  <c r="AJ9" i="2" s="1"/>
  <c r="AH48" i="3" l="1"/>
  <c r="AC18" i="4"/>
  <c r="AB19" i="4"/>
  <c r="AK14" i="3"/>
  <c r="S13" i="3"/>
  <c r="S17" i="3" s="1"/>
  <c r="AK6" i="2"/>
  <c r="AK9" i="2" s="1"/>
  <c r="AI48" i="3" l="1"/>
  <c r="AD18" i="4"/>
  <c r="AC19" i="4"/>
  <c r="AL14" i="3"/>
  <c r="T13" i="3"/>
  <c r="T17" i="3" s="1"/>
  <c r="AL6" i="2"/>
  <c r="AL9" i="2" s="1"/>
  <c r="AJ48" i="3" l="1"/>
  <c r="AD19" i="4"/>
  <c r="AE18" i="4"/>
  <c r="AM14" i="3"/>
  <c r="U13" i="3"/>
  <c r="U17" i="3" s="1"/>
  <c r="AM6" i="2"/>
  <c r="AM9" i="2" s="1"/>
  <c r="AQ9" i="2" s="1"/>
  <c r="AK48" i="3" l="1"/>
  <c r="AF18" i="4"/>
  <c r="AE19" i="4"/>
  <c r="V13" i="3"/>
  <c r="V17" i="3" s="1"/>
  <c r="AL48" i="3" l="1"/>
  <c r="AF19" i="4"/>
  <c r="AG18" i="4"/>
  <c r="W13" i="3"/>
  <c r="W17" i="3" s="1"/>
  <c r="AM48" i="3" l="1"/>
  <c r="AG19" i="4"/>
  <c r="AH18" i="4"/>
  <c r="X13" i="3"/>
  <c r="X17" i="3" s="1"/>
  <c r="AI18" i="4" l="1"/>
  <c r="AH19" i="4"/>
  <c r="Y13" i="3"/>
  <c r="Y17" i="3" s="1"/>
  <c r="AJ18" i="4" l="1"/>
  <c r="AI19" i="4"/>
  <c r="Z13" i="3"/>
  <c r="Z17" i="3" s="1"/>
  <c r="AK18" i="4" l="1"/>
  <c r="AJ19" i="4"/>
  <c r="AA13" i="3"/>
  <c r="AA17" i="3" s="1"/>
  <c r="Q15" i="2"/>
  <c r="Q16" i="2" s="1"/>
  <c r="AK19" i="4" l="1"/>
  <c r="AL18" i="4"/>
  <c r="AB13" i="3"/>
  <c r="AB17" i="3" s="1"/>
  <c r="R15" i="2"/>
  <c r="R16" i="2" s="1"/>
  <c r="AL19" i="4" l="1"/>
  <c r="AM18" i="4"/>
  <c r="AC13" i="3"/>
  <c r="AC17" i="3" s="1"/>
  <c r="S15" i="2"/>
  <c r="S16" i="2" s="1"/>
  <c r="AM19" i="4" l="1"/>
  <c r="AD13" i="3"/>
  <c r="AD17" i="3" s="1"/>
  <c r="T15" i="2"/>
  <c r="T16" i="2" s="1"/>
  <c r="AE13" i="3" l="1"/>
  <c r="AE17" i="3" s="1"/>
  <c r="U15" i="2"/>
  <c r="U16" i="2" s="1"/>
  <c r="AF13" i="3" l="1"/>
  <c r="AF17" i="3" s="1"/>
  <c r="V15" i="2"/>
  <c r="V16" i="2" s="1"/>
  <c r="AG13" i="3" l="1"/>
  <c r="AG17" i="3" s="1"/>
  <c r="W15" i="2"/>
  <c r="W16" i="2" s="1"/>
  <c r="AH13" i="3" l="1"/>
  <c r="AH17" i="3" s="1"/>
  <c r="X15" i="2"/>
  <c r="X16" i="2" s="1"/>
  <c r="AI13" i="3" l="1"/>
  <c r="AI17" i="3" s="1"/>
  <c r="Y15" i="2"/>
  <c r="Y16" i="2" s="1"/>
  <c r="AJ13" i="3" l="1"/>
  <c r="AJ17" i="3" s="1"/>
  <c r="Z15" i="2"/>
  <c r="Z16" i="2" s="1"/>
  <c r="AK13" i="3" l="1"/>
  <c r="AK17" i="3" s="1"/>
  <c r="AA15" i="2"/>
  <c r="AA16" i="2" s="1"/>
  <c r="AP16" i="2" l="1"/>
  <c r="AL13" i="3"/>
  <c r="AL17" i="3" s="1"/>
  <c r="AB15" i="2"/>
  <c r="AB16" i="2" s="1"/>
  <c r="AM13" i="3" l="1"/>
  <c r="AM17" i="3" s="1"/>
  <c r="AC15" i="2"/>
  <c r="AC16" i="2" s="1"/>
  <c r="AD15" i="2" l="1"/>
  <c r="AD16" i="2" s="1"/>
  <c r="AE15" i="2" l="1"/>
  <c r="AE16" i="2" s="1"/>
  <c r="AF15" i="2" l="1"/>
  <c r="AF16" i="2" s="1"/>
  <c r="AG15" i="2" l="1"/>
  <c r="AG16" i="2" s="1"/>
  <c r="AH15" i="2" l="1"/>
  <c r="AH16" i="2" s="1"/>
  <c r="AI15" i="2" l="1"/>
  <c r="AI16" i="2" s="1"/>
  <c r="AJ15" i="2" l="1"/>
  <c r="AJ16" i="2" s="1"/>
  <c r="AK15" i="2" l="1"/>
  <c r="AK16" i="2" s="1"/>
  <c r="AL15" i="2" l="1"/>
  <c r="AL16" i="2" s="1"/>
  <c r="AM15" i="2" l="1"/>
  <c r="AM16" i="2" s="1"/>
  <c r="AQ16" i="2" s="1"/>
</calcChain>
</file>

<file path=xl/sharedStrings.xml><?xml version="1.0" encoding="utf-8"?>
<sst xmlns="http://schemas.openxmlformats.org/spreadsheetml/2006/main" count="437" uniqueCount="111">
  <si>
    <t>Regulatory assets</t>
  </si>
  <si>
    <t>Conservation Cost Recovery Asset - Miscellaneous Deferred Debits</t>
  </si>
  <si>
    <t>16001860</t>
  </si>
  <si>
    <t>Deferred Rate Case - Miscellaneous Deferred Debits</t>
  </si>
  <si>
    <t>17601860</t>
  </si>
  <si>
    <t>Retirement Plans - Other Regulatory Assets</t>
  </si>
  <si>
    <t>17811823</t>
  </si>
  <si>
    <t>Regulatory liabilities</t>
  </si>
  <si>
    <t>Deferred Environmental Liability - Other Regulatory Liabilities</t>
  </si>
  <si>
    <t>28152540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</si>
  <si>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</si>
  <si>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</si>
  <si>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</si>
  <si>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</si>
  <si>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</si>
  <si>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</si>
  <si>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</si>
  <si>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</si>
  <si>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</si>
  <si>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</si>
  <si>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</si>
  <si>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</si>
  <si>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AMORTIZATION EXPENSE:</t>
  </si>
  <si>
    <t>GRIP Clearing - Miscellaneous Deferred Debits GRIP</t>
  </si>
  <si>
    <t>1609186G</t>
  </si>
  <si>
    <t>Environmental Regulatory Assets - Other Regulatory Assets</t>
  </si>
  <si>
    <t>17201823</t>
  </si>
  <si>
    <t>Deferred Depreciation Study - Other Regulatory Assets</t>
  </si>
  <si>
    <t>Unrecovered Piping &amp; Conversion - Miscellaneous Deferred Debits</t>
  </si>
  <si>
    <t>17731860</t>
  </si>
  <si>
    <t>Conservation Cost Recovery Liability - Other Deferred Credits</t>
  </si>
  <si>
    <t>26002530</t>
  </si>
  <si>
    <t>Over/Under Collections GRIP - Other Deferred Credits GRIP</t>
  </si>
  <si>
    <t>2605253G</t>
  </si>
  <si>
    <t>GRIP Clearing - Other Deferred Credits GRIP</t>
  </si>
  <si>
    <t>2609253G</t>
  </si>
  <si>
    <t>Over-recovered PGC - Other Deferred Credits</t>
  </si>
  <si>
    <t>26PG2530</t>
  </si>
  <si>
    <t>Regulatory Asset - Amort Acquisition Adjustment</t>
  </si>
  <si>
    <t>Conservation Cost Recovery Asset - Other Deferred Credits</t>
  </si>
  <si>
    <t>16002530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</si>
  <si>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</si>
  <si>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</si>
  <si>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</si>
  <si>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</si>
  <si>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Operational Balancing Acct Credit - Operational Balancing Account</t>
  </si>
  <si>
    <t>26OB1911</t>
  </si>
  <si>
    <t>Amortization Expense:</t>
  </si>
  <si>
    <t>Unrecovered PGC-DB CLR - Miscellaneous Deferred Debits</t>
  </si>
  <si>
    <t>16PG1860</t>
  </si>
  <si>
    <t>Deferred Environmental Costs - Other Deferred Credits</t>
  </si>
  <si>
    <t>28102530</t>
  </si>
  <si>
    <t>FN</t>
  </si>
  <si>
    <t>CFG</t>
  </si>
  <si>
    <t>FI</t>
  </si>
  <si>
    <t>FT</t>
  </si>
  <si>
    <t>Actual</t>
  </si>
  <si>
    <t>Forecast</t>
  </si>
  <si>
    <t>Unrecovered PGC-Operational Balance</t>
  </si>
  <si>
    <t>Regulatory Asset-Mic. Debit</t>
  </si>
  <si>
    <t>26PG1910</t>
  </si>
  <si>
    <t>Over-recovered PGC - Unrecovered Purchased Gas Costs</t>
  </si>
  <si>
    <t>Regulatory Liabilities</t>
  </si>
  <si>
    <t xml:space="preserve">Conservation Cost Recovery  </t>
  </si>
  <si>
    <t>Regulatory Liability Tax Rate Change - Othr Reg Liab-Not Protected</t>
  </si>
  <si>
    <t>280R254N</t>
  </si>
  <si>
    <t>Regulatory Liability Tax Rate Change - Othr Reg Liab-Protected</t>
  </si>
  <si>
    <t>280R254P</t>
  </si>
  <si>
    <t>Amortization of Acquisition Adjustment (not booked in G/L)</t>
  </si>
  <si>
    <t>Regulatory Liability Tax Rate Change - Othr Reg Liab-Not Protected ACQ ADJ</t>
  </si>
  <si>
    <t>Amort Exp - Othr Reg Liab-Protected</t>
  </si>
  <si>
    <t>Amort Exp- Othr Reg Liab-Not Protected ACQ ADJ</t>
  </si>
  <si>
    <t xml:space="preserve">Amort Exp- Othr Reg Liab-Not Protected </t>
  </si>
  <si>
    <t>Line 17</t>
  </si>
  <si>
    <t>Line 16</t>
  </si>
  <si>
    <t>Self Insurance Asset - Other Regulatory Asset</t>
  </si>
  <si>
    <t>Regulatory Asset-COVID-19 - Other Regulatory Assets</t>
  </si>
  <si>
    <t>17CO1823</t>
  </si>
  <si>
    <t>Line 9</t>
  </si>
  <si>
    <t>Line 30</t>
  </si>
  <si>
    <t>Line 32</t>
  </si>
  <si>
    <t>Other debits - 186</t>
  </si>
  <si>
    <t>Deferred rate case - 186</t>
  </si>
  <si>
    <t>Rate case expenses</t>
  </si>
  <si>
    <t>projected</t>
  </si>
  <si>
    <t>OTHER DEFERRED CREDITS</t>
  </si>
  <si>
    <t>Reserve for Refund - Other Deferred Credits</t>
  </si>
  <si>
    <t>Projected</t>
  </si>
  <si>
    <t>Projected - Rate case expenses</t>
  </si>
  <si>
    <t>Projected rate case expense</t>
  </si>
  <si>
    <t>Total 182.3 - Other regulatory assets</t>
  </si>
  <si>
    <t>Total 186 -  Other deferred debits</t>
  </si>
  <si>
    <t>Total Other deferred credits</t>
  </si>
  <si>
    <t>Deferred Environmental Liability - Other Deferred Credits</t>
  </si>
  <si>
    <t>Deferred Environmental Liability - Other Deferred Credits 2</t>
  </si>
  <si>
    <t>Deferred Environmental Contra - Other Deferred Credits</t>
  </si>
  <si>
    <t>27782530</t>
  </si>
  <si>
    <t>28152530</t>
  </si>
  <si>
    <t>28152531</t>
  </si>
  <si>
    <t>28192530</t>
  </si>
  <si>
    <t>15901860</t>
  </si>
  <si>
    <t>Contract Asset (current) - Miscellaneous Deferred Debits</t>
  </si>
  <si>
    <t>Contract Asset (non-current) - Miscellaneous Deferred Debits</t>
  </si>
  <si>
    <t>19301860</t>
  </si>
  <si>
    <t>22202530</t>
  </si>
  <si>
    <t>Deferred Revenue - Other Deferred Credits</t>
  </si>
  <si>
    <t>27502530</t>
  </si>
  <si>
    <t>Account Number</t>
  </si>
  <si>
    <t>Total REGULATORY LIABILITIES - TAX RATE CHANGE</t>
  </si>
  <si>
    <t>13 Month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</si>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</sst>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#,##0;\(#,###,##0\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7" fillId="0" borderId="0"/>
    <xf numFmtId="0" fontId="3" fillId="0" borderId="0"/>
  </cellStyleXfs>
  <cellXfs count="44">
    <xf numFmtId="0" fontId="0" fillId="0" borderId="0" xfId="0"/>
    <xf numFmtId="0" fontId="0" fillId="0" borderId="0" xfId="0" applyFill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5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165" fontId="0" fillId="0" borderId="0" xfId="1" applyNumberFormat="1" applyFont="1" applyFill="1" applyBorder="1"/>
    <xf numFmtId="0" fontId="6" fillId="0" borderId="0" xfId="0" applyFont="1" applyFill="1" applyBorder="1" applyAlignment="1">
      <alignment horizontal="center"/>
    </xf>
    <xf numFmtId="164" fontId="6" fillId="0" borderId="0" xfId="2" applyFont="1" applyFill="1" applyBorder="1"/>
    <xf numFmtId="164" fontId="6" fillId="0" borderId="0" xfId="2" applyNumberFormat="1" applyFont="1" applyFill="1" applyBorder="1"/>
    <xf numFmtId="164" fontId="6" fillId="0" borderId="0" xfId="0" applyNumberFormat="1" applyFont="1" applyFill="1" applyBorder="1"/>
    <xf numFmtId="164" fontId="6" fillId="0" borderId="0" xfId="1" applyNumberFormat="1" applyFont="1" applyFill="1" applyBorder="1"/>
    <xf numFmtId="165" fontId="6" fillId="0" borderId="0" xfId="1" applyNumberFormat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/>
    <xf numFmtId="49" fontId="6" fillId="0" borderId="0" xfId="2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0" fontId="6" fillId="0" borderId="0" xfId="4" applyFont="1" applyFill="1" applyBorder="1" applyAlignment="1">
      <alignment horizontal="left"/>
    </xf>
    <xf numFmtId="43" fontId="6" fillId="0" borderId="0" xfId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4" applyFont="1" applyFill="1" applyBorder="1" applyAlignment="1">
      <alignment horizontal="left" indent="2"/>
    </xf>
    <xf numFmtId="164" fontId="6" fillId="0" borderId="1" xfId="0" applyNumberFormat="1" applyFont="1" applyFill="1" applyBorder="1"/>
    <xf numFmtId="165" fontId="6" fillId="0" borderId="1" xfId="0" applyNumberFormat="1" applyFont="1" applyFill="1" applyBorder="1"/>
    <xf numFmtId="1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5"/>
    </xf>
    <xf numFmtId="49" fontId="3" fillId="0" borderId="0" xfId="2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0" fontId="4" fillId="0" borderId="0" xfId="0" applyFont="1" applyFill="1" applyBorder="1"/>
    <xf numFmtId="0" fontId="2" fillId="0" borderId="0" xfId="0" applyFont="1" applyFill="1" applyBorder="1"/>
    <xf numFmtId="14" fontId="0" fillId="0" borderId="0" xfId="0" applyNumberFormat="1" applyFill="1" applyBorder="1"/>
    <xf numFmtId="43" fontId="6" fillId="0" borderId="0" xfId="1" applyFont="1" applyFill="1"/>
    <xf numFmtId="49" fontId="10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1" fillId="0" borderId="0" xfId="0" applyNumberFormat="1" applyFont="1" applyFill="1" applyAlignment="1">
      <alignment horizontal="center"/>
    </xf>
    <xf numFmtId="43" fontId="6" fillId="0" borderId="1" xfId="1" applyFont="1" applyFill="1" applyBorder="1"/>
    <xf numFmtId="165" fontId="6" fillId="0" borderId="1" xfId="1" applyNumberFormat="1" applyFont="1" applyFill="1" applyBorder="1"/>
    <xf numFmtId="165" fontId="6" fillId="0" borderId="0" xfId="1" applyNumberFormat="1" applyFont="1" applyFill="1" applyBorder="1" applyAlignment="1">
      <alignment horizontal="left"/>
    </xf>
    <xf numFmtId="43" fontId="0" fillId="0" borderId="1" xfId="1" applyFont="1" applyFill="1" applyBorder="1"/>
  </cellXfs>
  <cellStyles count="5">
    <cellStyle name="Comma" xfId="1" builtinId="3"/>
    <cellStyle name="FRxAmtStyle" xfId="2"/>
    <cellStyle name="Normal" xfId="0" builtinId="0"/>
    <cellStyle name="Normal 2" xfId="3"/>
    <cellStyle name="Normal_FN" xfId="4"/>
  </cellStyles>
  <dxfs count="0"/>
  <tableStyles count="0" defaultTableStyle="TableStyleMedium9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Q64"/>
  <sheetViews>
    <sheetView tabSelected="1" view="pageBreakPreview" zoomScale="85" zoomScaleNormal="120" zoomScaleSheetLayoutView="85" workbookViewId="0">
      <pane xSplit="2" ySplit="3" topLeftCell="L27" activePane="bottomRight" state="frozen"/>
      <selection pane="topRight" activeCell="C1" sqref="C1"/>
      <selection pane="bottomLeft" activeCell="A4" sqref="A4"/>
      <selection pane="bottomRight" activeCell="Q35" sqref="Q35"/>
    </sheetView>
  </sheetViews>
  <sheetFormatPr defaultColWidth="9.140625" defaultRowHeight="15" x14ac:dyDescent="0.25"/>
  <cols>
    <col min="1" max="1" width="78" style="3" customWidth="1"/>
    <col min="2" max="2" width="17.42578125" style="3" bestFit="1" customWidth="1"/>
    <col min="3" max="39" width="16.7109375" style="3" customWidth="1"/>
    <col min="40" max="40" width="17.42578125" style="17" customWidth="1"/>
    <col min="41" max="41" width="15.85546875" style="36" bestFit="1" customWidth="1"/>
    <col min="42" max="42" width="16.85546875" style="2" customWidth="1"/>
    <col min="43" max="43" width="16.42578125" style="2" bestFit="1" customWidth="1"/>
    <col min="44" max="16384" width="9.140625" style="2"/>
  </cols>
  <sheetData>
    <row r="1" spans="1:43" ht="15.75" x14ac:dyDescent="0.25">
      <c r="A1" s="3" t="s">
        <v>52</v>
      </c>
      <c r="C1" s="9" t="s">
        <v>56</v>
      </c>
      <c r="D1" s="9" t="s">
        <v>56</v>
      </c>
      <c r="E1" s="9" t="s">
        <v>56</v>
      </c>
      <c r="F1" s="9" t="s">
        <v>56</v>
      </c>
      <c r="G1" s="9" t="s">
        <v>56</v>
      </c>
      <c r="H1" s="9" t="s">
        <v>56</v>
      </c>
      <c r="I1" s="9" t="s">
        <v>56</v>
      </c>
      <c r="J1" s="9" t="s">
        <v>56</v>
      </c>
      <c r="K1" s="9" t="s">
        <v>56</v>
      </c>
      <c r="L1" s="9" t="s">
        <v>56</v>
      </c>
      <c r="M1" s="9" t="s">
        <v>56</v>
      </c>
      <c r="N1" s="9" t="s">
        <v>56</v>
      </c>
      <c r="O1" s="9" t="s">
        <v>56</v>
      </c>
      <c r="P1" s="9" t="s">
        <v>56</v>
      </c>
      <c r="Q1" s="9" t="s">
        <v>57</v>
      </c>
      <c r="R1" s="9" t="s">
        <v>57</v>
      </c>
      <c r="S1" s="9" t="s">
        <v>57</v>
      </c>
      <c r="T1" s="9" t="s">
        <v>57</v>
      </c>
      <c r="U1" s="9" t="s">
        <v>57</v>
      </c>
      <c r="V1" s="9" t="s">
        <v>57</v>
      </c>
      <c r="W1" s="9" t="s">
        <v>57</v>
      </c>
      <c r="X1" s="9" t="s">
        <v>57</v>
      </c>
      <c r="Y1" s="9" t="s">
        <v>57</v>
      </c>
      <c r="Z1" s="9" t="s">
        <v>57</v>
      </c>
      <c r="AA1" s="9" t="s">
        <v>57</v>
      </c>
      <c r="AB1" s="9" t="s">
        <v>57</v>
      </c>
      <c r="AC1" s="9" t="s">
        <v>57</v>
      </c>
      <c r="AD1" s="9" t="s">
        <v>57</v>
      </c>
      <c r="AE1" s="9" t="s">
        <v>57</v>
      </c>
      <c r="AF1" s="9" t="s">
        <v>57</v>
      </c>
      <c r="AG1" s="9" t="s">
        <v>57</v>
      </c>
      <c r="AH1" s="9" t="s">
        <v>57</v>
      </c>
      <c r="AI1" s="9" t="s">
        <v>57</v>
      </c>
      <c r="AJ1" s="9" t="s">
        <v>57</v>
      </c>
      <c r="AK1" s="9" t="s">
        <v>57</v>
      </c>
      <c r="AL1" s="9" t="s">
        <v>57</v>
      </c>
      <c r="AM1" s="9" t="s">
        <v>57</v>
      </c>
      <c r="AO1" s="39" t="s">
        <v>109</v>
      </c>
      <c r="AP1" s="39" t="s">
        <v>109</v>
      </c>
      <c r="AQ1" s="39" t="s">
        <v>109</v>
      </c>
    </row>
    <row r="2" spans="1:43" ht="15.75" x14ac:dyDescent="0.25"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10</v>
      </c>
      <c r="I2" s="18" t="s">
        <v>11</v>
      </c>
      <c r="J2" s="18" t="s">
        <v>12</v>
      </c>
      <c r="K2" s="18" t="s">
        <v>13</v>
      </c>
      <c r="L2" s="18" t="s">
        <v>14</v>
      </c>
      <c r="M2" s="18" t="s">
        <v>15</v>
      </c>
      <c r="N2" s="18" t="s">
        <v>16</v>
      </c>
      <c r="O2" s="18" t="s">
        <v>17</v>
      </c>
      <c r="P2" s="18" t="s">
        <v>18</v>
      </c>
      <c r="Q2" s="18" t="s">
        <v>19</v>
      </c>
      <c r="R2" s="18" t="s">
        <v>20</v>
      </c>
      <c r="S2" s="18" t="s">
        <v>21</v>
      </c>
      <c r="T2" s="18" t="s">
        <v>10</v>
      </c>
      <c r="U2" s="18" t="s">
        <v>11</v>
      </c>
      <c r="V2" s="18" t="s">
        <v>12</v>
      </c>
      <c r="W2" s="18" t="s">
        <v>13</v>
      </c>
      <c r="X2" s="18" t="s">
        <v>14</v>
      </c>
      <c r="Y2" s="18" t="s">
        <v>15</v>
      </c>
      <c r="Z2" s="18" t="s">
        <v>16</v>
      </c>
      <c r="AA2" s="18" t="s">
        <v>17</v>
      </c>
      <c r="AB2" s="18" t="s">
        <v>18</v>
      </c>
      <c r="AC2" s="18" t="s">
        <v>19</v>
      </c>
      <c r="AD2" s="18" t="s">
        <v>20</v>
      </c>
      <c r="AE2" s="18" t="s">
        <v>21</v>
      </c>
      <c r="AF2" s="18" t="s">
        <v>10</v>
      </c>
      <c r="AG2" s="18" t="s">
        <v>11</v>
      </c>
      <c r="AH2" s="18" t="s">
        <v>12</v>
      </c>
      <c r="AI2" s="18" t="s">
        <v>13</v>
      </c>
      <c r="AJ2" s="18" t="s">
        <v>14</v>
      </c>
      <c r="AK2" s="18" t="s">
        <v>15</v>
      </c>
      <c r="AL2" s="18" t="s">
        <v>16</v>
      </c>
      <c r="AM2" s="18" t="s">
        <v>17</v>
      </c>
      <c r="AO2" s="39" t="s">
        <v>110</v>
      </c>
      <c r="AP2" s="39" t="s">
        <v>110</v>
      </c>
      <c r="AQ2" s="39" t="s">
        <v>110</v>
      </c>
    </row>
    <row r="3" spans="1:43" x14ac:dyDescent="0.25">
      <c r="A3" s="15" t="s">
        <v>0</v>
      </c>
      <c r="B3" s="3" t="s">
        <v>107</v>
      </c>
      <c r="C3" s="9">
        <v>2020</v>
      </c>
      <c r="D3" s="9">
        <v>2021</v>
      </c>
      <c r="E3" s="9">
        <v>2021</v>
      </c>
      <c r="F3" s="9">
        <v>2021</v>
      </c>
      <c r="G3" s="9">
        <v>2021</v>
      </c>
      <c r="H3" s="9">
        <v>2021</v>
      </c>
      <c r="I3" s="9">
        <v>2021</v>
      </c>
      <c r="J3" s="9">
        <v>2021</v>
      </c>
      <c r="K3" s="9">
        <v>2021</v>
      </c>
      <c r="L3" s="9">
        <v>2021</v>
      </c>
      <c r="M3" s="9">
        <v>2021</v>
      </c>
      <c r="N3" s="9">
        <v>2021</v>
      </c>
      <c r="O3" s="9">
        <v>2021</v>
      </c>
      <c r="P3" s="9">
        <v>2022</v>
      </c>
      <c r="Q3" s="9">
        <v>2022</v>
      </c>
      <c r="R3" s="9">
        <v>2022</v>
      </c>
      <c r="S3" s="9">
        <v>2022</v>
      </c>
      <c r="T3" s="9">
        <v>2022</v>
      </c>
      <c r="U3" s="9">
        <v>2022</v>
      </c>
      <c r="V3" s="9">
        <v>2022</v>
      </c>
      <c r="W3" s="9">
        <v>2022</v>
      </c>
      <c r="X3" s="9">
        <v>2022</v>
      </c>
      <c r="Y3" s="9">
        <v>2022</v>
      </c>
      <c r="Z3" s="9">
        <v>2022</v>
      </c>
      <c r="AA3" s="9">
        <v>2022</v>
      </c>
      <c r="AB3" s="9">
        <v>2023</v>
      </c>
      <c r="AC3" s="9">
        <v>2023</v>
      </c>
      <c r="AD3" s="9">
        <v>2023</v>
      </c>
      <c r="AE3" s="9">
        <v>2023</v>
      </c>
      <c r="AF3" s="9">
        <v>2023</v>
      </c>
      <c r="AG3" s="9">
        <v>2023</v>
      </c>
      <c r="AH3" s="9">
        <v>2023</v>
      </c>
      <c r="AI3" s="9">
        <v>2023</v>
      </c>
      <c r="AJ3" s="9">
        <v>2023</v>
      </c>
      <c r="AK3" s="9">
        <v>2023</v>
      </c>
      <c r="AL3" s="9">
        <v>2023</v>
      </c>
      <c r="AM3" s="9">
        <v>2023</v>
      </c>
      <c r="AO3" s="2">
        <v>2021</v>
      </c>
      <c r="AP3" s="2">
        <v>2022</v>
      </c>
      <c r="AQ3" s="2">
        <v>2023</v>
      </c>
    </row>
    <row r="5" spans="1:43" x14ac:dyDescent="0.25">
      <c r="A5" s="7" t="s">
        <v>75</v>
      </c>
      <c r="B5" s="7">
        <v>16201823</v>
      </c>
      <c r="C5" s="12">
        <v>54504</v>
      </c>
      <c r="D5" s="19">
        <v>19863</v>
      </c>
      <c r="E5" s="19">
        <v>21532</v>
      </c>
      <c r="F5" s="19">
        <v>6308</v>
      </c>
      <c r="G5" s="19">
        <v>4542</v>
      </c>
      <c r="H5" s="19">
        <v>3785.04</v>
      </c>
      <c r="I5" s="19">
        <v>0</v>
      </c>
      <c r="J5" s="19">
        <v>0</v>
      </c>
      <c r="K5" s="19">
        <v>0</v>
      </c>
      <c r="L5" s="19"/>
      <c r="M5" s="19"/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</row>
    <row r="6" spans="1:43" x14ac:dyDescent="0.25">
      <c r="A6" s="7" t="s">
        <v>25</v>
      </c>
      <c r="B6" s="7" t="s">
        <v>26</v>
      </c>
      <c r="C6" s="12">
        <v>1603930</v>
      </c>
      <c r="D6" s="19">
        <f t="shared" ref="D6:AM6" si="0">C6-D43</f>
        <v>1565901</v>
      </c>
      <c r="E6" s="19">
        <f t="shared" si="0"/>
        <v>1527872</v>
      </c>
      <c r="F6" s="19">
        <f t="shared" si="0"/>
        <v>1489843</v>
      </c>
      <c r="G6" s="19">
        <f t="shared" si="0"/>
        <v>1451814</v>
      </c>
      <c r="H6" s="19">
        <f t="shared" si="0"/>
        <v>1413785</v>
      </c>
      <c r="I6" s="19">
        <f t="shared" si="0"/>
        <v>1375756</v>
      </c>
      <c r="J6" s="19">
        <f t="shared" si="0"/>
        <v>1337727</v>
      </c>
      <c r="K6" s="19">
        <f t="shared" si="0"/>
        <v>1299698</v>
      </c>
      <c r="L6" s="19">
        <f t="shared" si="0"/>
        <v>1261669</v>
      </c>
      <c r="M6" s="19">
        <f t="shared" si="0"/>
        <v>1223640</v>
      </c>
      <c r="N6" s="19">
        <f t="shared" si="0"/>
        <v>1185611</v>
      </c>
      <c r="O6" s="19">
        <f t="shared" si="0"/>
        <v>1147582</v>
      </c>
      <c r="P6" s="19">
        <f t="shared" si="0"/>
        <v>1109553</v>
      </c>
      <c r="Q6" s="19">
        <f t="shared" si="0"/>
        <v>1071524</v>
      </c>
      <c r="R6" s="19">
        <f t="shared" si="0"/>
        <v>1033495</v>
      </c>
      <c r="S6" s="19">
        <f t="shared" si="0"/>
        <v>995466</v>
      </c>
      <c r="T6" s="19">
        <f t="shared" si="0"/>
        <v>957437</v>
      </c>
      <c r="U6" s="19">
        <f t="shared" si="0"/>
        <v>919408</v>
      </c>
      <c r="V6" s="19">
        <f t="shared" si="0"/>
        <v>881379</v>
      </c>
      <c r="W6" s="19">
        <f t="shared" si="0"/>
        <v>843350</v>
      </c>
      <c r="X6" s="19">
        <f t="shared" si="0"/>
        <v>805321</v>
      </c>
      <c r="Y6" s="19">
        <f t="shared" si="0"/>
        <v>767292</v>
      </c>
      <c r="Z6" s="19">
        <f t="shared" si="0"/>
        <v>729263</v>
      </c>
      <c r="AA6" s="19">
        <f t="shared" si="0"/>
        <v>691234</v>
      </c>
      <c r="AB6" s="19">
        <f t="shared" si="0"/>
        <v>653205</v>
      </c>
      <c r="AC6" s="19">
        <f t="shared" si="0"/>
        <v>615176</v>
      </c>
      <c r="AD6" s="19">
        <f t="shared" si="0"/>
        <v>577147</v>
      </c>
      <c r="AE6" s="19">
        <f t="shared" si="0"/>
        <v>539118</v>
      </c>
      <c r="AF6" s="19">
        <f t="shared" si="0"/>
        <v>501089</v>
      </c>
      <c r="AG6" s="19">
        <f t="shared" si="0"/>
        <v>463060</v>
      </c>
      <c r="AH6" s="19">
        <f t="shared" si="0"/>
        <v>425031</v>
      </c>
      <c r="AI6" s="19">
        <f t="shared" si="0"/>
        <v>387002</v>
      </c>
      <c r="AJ6" s="19">
        <f t="shared" si="0"/>
        <v>348973</v>
      </c>
      <c r="AK6" s="19">
        <f t="shared" si="0"/>
        <v>310944</v>
      </c>
      <c r="AL6" s="19">
        <f t="shared" si="0"/>
        <v>272915</v>
      </c>
      <c r="AM6" s="19">
        <f t="shared" si="0"/>
        <v>234886</v>
      </c>
    </row>
    <row r="7" spans="1:43" x14ac:dyDescent="0.25">
      <c r="A7" s="7" t="s">
        <v>5</v>
      </c>
      <c r="B7" s="7" t="s">
        <v>6</v>
      </c>
      <c r="C7" s="12">
        <v>11239311</v>
      </c>
      <c r="D7" s="12">
        <f>C7</f>
        <v>11239311</v>
      </c>
      <c r="E7" s="12">
        <f>D7</f>
        <v>11239311</v>
      </c>
      <c r="F7" s="12">
        <f>E7-41003-41994</f>
        <v>11156314</v>
      </c>
      <c r="G7" s="12">
        <f>F7</f>
        <v>11156314</v>
      </c>
      <c r="H7" s="12">
        <f>G7</f>
        <v>11156314</v>
      </c>
      <c r="I7" s="12">
        <f>H7-41003-41994</f>
        <v>11073317</v>
      </c>
      <c r="J7" s="12">
        <f>I7</f>
        <v>11073317</v>
      </c>
      <c r="K7" s="12">
        <f>J7</f>
        <v>11073317</v>
      </c>
      <c r="L7" s="12">
        <f>K7-82997</f>
        <v>10990320</v>
      </c>
      <c r="M7" s="12">
        <f>L7</f>
        <v>10990320</v>
      </c>
      <c r="N7" s="12">
        <f>M7</f>
        <v>10990320</v>
      </c>
      <c r="O7" s="12">
        <f>N7-1582016</f>
        <v>9408304</v>
      </c>
      <c r="P7" s="12">
        <f t="shared" ref="P7:AM7" si="1">O7-41003</f>
        <v>9367301</v>
      </c>
      <c r="Q7" s="12">
        <f t="shared" si="1"/>
        <v>9326298</v>
      </c>
      <c r="R7" s="12">
        <f t="shared" si="1"/>
        <v>9285295</v>
      </c>
      <c r="S7" s="12">
        <f t="shared" si="1"/>
        <v>9244292</v>
      </c>
      <c r="T7" s="12">
        <f t="shared" si="1"/>
        <v>9203289</v>
      </c>
      <c r="U7" s="12">
        <f t="shared" si="1"/>
        <v>9162286</v>
      </c>
      <c r="V7" s="12">
        <f t="shared" si="1"/>
        <v>9121283</v>
      </c>
      <c r="W7" s="12">
        <f t="shared" si="1"/>
        <v>9080280</v>
      </c>
      <c r="X7" s="12">
        <f t="shared" si="1"/>
        <v>9039277</v>
      </c>
      <c r="Y7" s="12">
        <f t="shared" si="1"/>
        <v>8998274</v>
      </c>
      <c r="Z7" s="12">
        <f t="shared" si="1"/>
        <v>8957271</v>
      </c>
      <c r="AA7" s="12">
        <f t="shared" si="1"/>
        <v>8916268</v>
      </c>
      <c r="AB7" s="12">
        <f t="shared" si="1"/>
        <v>8875265</v>
      </c>
      <c r="AC7" s="12">
        <f t="shared" si="1"/>
        <v>8834262</v>
      </c>
      <c r="AD7" s="12">
        <f t="shared" si="1"/>
        <v>8793259</v>
      </c>
      <c r="AE7" s="12">
        <f t="shared" si="1"/>
        <v>8752256</v>
      </c>
      <c r="AF7" s="12">
        <f t="shared" si="1"/>
        <v>8711253</v>
      </c>
      <c r="AG7" s="12">
        <f t="shared" si="1"/>
        <v>8670250</v>
      </c>
      <c r="AH7" s="12">
        <f t="shared" si="1"/>
        <v>8629247</v>
      </c>
      <c r="AI7" s="12">
        <f t="shared" si="1"/>
        <v>8588244</v>
      </c>
      <c r="AJ7" s="12">
        <f t="shared" si="1"/>
        <v>8547241</v>
      </c>
      <c r="AK7" s="12">
        <f t="shared" si="1"/>
        <v>8506238</v>
      </c>
      <c r="AL7" s="12">
        <f t="shared" si="1"/>
        <v>8465235</v>
      </c>
      <c r="AM7" s="12">
        <f t="shared" si="1"/>
        <v>8424232</v>
      </c>
    </row>
    <row r="8" spans="1:43" x14ac:dyDescent="0.25">
      <c r="A8" s="3" t="s">
        <v>76</v>
      </c>
      <c r="B8" s="3" t="s">
        <v>77</v>
      </c>
      <c r="C8" s="14">
        <v>762138</v>
      </c>
      <c r="D8" s="14">
        <v>782422</v>
      </c>
      <c r="E8" s="14">
        <v>800094</v>
      </c>
      <c r="F8" s="14">
        <v>660389</v>
      </c>
      <c r="G8" s="14">
        <v>679298</v>
      </c>
      <c r="H8" s="14">
        <v>695717</v>
      </c>
      <c r="I8" s="14">
        <v>623580</v>
      </c>
      <c r="J8" s="13">
        <v>577153</v>
      </c>
      <c r="K8" s="14">
        <v>577153</v>
      </c>
      <c r="L8" s="14">
        <v>577153</v>
      </c>
      <c r="M8" s="14">
        <v>577153</v>
      </c>
      <c r="N8" s="14">
        <v>577153</v>
      </c>
      <c r="O8" s="14">
        <v>577153</v>
      </c>
      <c r="P8" s="14">
        <v>553104.95833333337</v>
      </c>
      <c r="Q8" s="14">
        <v>529056.91666666674</v>
      </c>
      <c r="R8" s="14">
        <v>505008.87500000006</v>
      </c>
      <c r="S8" s="14">
        <v>480960.83333333337</v>
      </c>
      <c r="T8" s="14">
        <v>456912.79166666669</v>
      </c>
      <c r="U8" s="14">
        <v>432864.75</v>
      </c>
      <c r="V8" s="14">
        <v>408816.70833333331</v>
      </c>
      <c r="W8" s="14">
        <v>384768.66666666663</v>
      </c>
      <c r="X8" s="14">
        <v>360720.62499999994</v>
      </c>
      <c r="Y8" s="14">
        <v>336672.58333333326</v>
      </c>
      <c r="Z8" s="14">
        <v>312624.54166666657</v>
      </c>
      <c r="AA8" s="14">
        <v>288576.49999999988</v>
      </c>
      <c r="AB8" s="14">
        <v>264528.4583333332</v>
      </c>
      <c r="AC8" s="14">
        <v>240480.41666666654</v>
      </c>
      <c r="AD8" s="14">
        <v>216432.37499999988</v>
      </c>
      <c r="AE8" s="14">
        <v>192384.33333333323</v>
      </c>
      <c r="AF8" s="14">
        <v>168336.29166666657</v>
      </c>
      <c r="AG8" s="14">
        <v>144288.24999999991</v>
      </c>
      <c r="AH8" s="14">
        <v>120240.20833333324</v>
      </c>
      <c r="AI8" s="14">
        <v>96192.16666666657</v>
      </c>
      <c r="AJ8" s="14">
        <v>72144.124999999898</v>
      </c>
      <c r="AK8" s="14">
        <v>48096.083333333227</v>
      </c>
      <c r="AL8" s="14">
        <v>24048.041666666559</v>
      </c>
      <c r="AM8" s="14">
        <v>0</v>
      </c>
    </row>
    <row r="9" spans="1:43" ht="14.25" customHeight="1" x14ac:dyDescent="0.25">
      <c r="A9" s="23" t="s">
        <v>90</v>
      </c>
      <c r="C9" s="24">
        <f t="shared" ref="C9:AM9" si="2">SUM(C5:C8)</f>
        <v>13659883</v>
      </c>
      <c r="D9" s="24">
        <f t="shared" si="2"/>
        <v>13607497</v>
      </c>
      <c r="E9" s="24">
        <f t="shared" si="2"/>
        <v>13588809</v>
      </c>
      <c r="F9" s="24">
        <f t="shared" si="2"/>
        <v>13312854</v>
      </c>
      <c r="G9" s="24">
        <f t="shared" si="2"/>
        <v>13291968</v>
      </c>
      <c r="H9" s="24">
        <f t="shared" si="2"/>
        <v>13269601.039999999</v>
      </c>
      <c r="I9" s="24">
        <f t="shared" si="2"/>
        <v>13072653</v>
      </c>
      <c r="J9" s="24">
        <f t="shared" si="2"/>
        <v>12988197</v>
      </c>
      <c r="K9" s="24">
        <f t="shared" si="2"/>
        <v>12950168</v>
      </c>
      <c r="L9" s="24">
        <f t="shared" si="2"/>
        <v>12829142</v>
      </c>
      <c r="M9" s="24">
        <f t="shared" si="2"/>
        <v>12791113</v>
      </c>
      <c r="N9" s="24">
        <f t="shared" si="2"/>
        <v>12753084</v>
      </c>
      <c r="O9" s="24">
        <f t="shared" si="2"/>
        <v>11133039</v>
      </c>
      <c r="P9" s="24">
        <f t="shared" si="2"/>
        <v>11029958.958333334</v>
      </c>
      <c r="Q9" s="24">
        <f t="shared" si="2"/>
        <v>10926878.916666666</v>
      </c>
      <c r="R9" s="24">
        <f t="shared" si="2"/>
        <v>10823798.875</v>
      </c>
      <c r="S9" s="24">
        <f t="shared" si="2"/>
        <v>10720718.833333334</v>
      </c>
      <c r="T9" s="24">
        <f t="shared" si="2"/>
        <v>10617638.791666666</v>
      </c>
      <c r="U9" s="24">
        <f t="shared" si="2"/>
        <v>10514558.75</v>
      </c>
      <c r="V9" s="24">
        <f t="shared" si="2"/>
        <v>10411478.708333334</v>
      </c>
      <c r="W9" s="24">
        <f t="shared" si="2"/>
        <v>10308398.666666666</v>
      </c>
      <c r="X9" s="24">
        <f t="shared" si="2"/>
        <v>10205318.625</v>
      </c>
      <c r="Y9" s="24">
        <f t="shared" si="2"/>
        <v>10102238.583333334</v>
      </c>
      <c r="Z9" s="24">
        <f t="shared" si="2"/>
        <v>9999158.541666666</v>
      </c>
      <c r="AA9" s="24">
        <f t="shared" si="2"/>
        <v>9896078.5</v>
      </c>
      <c r="AB9" s="24">
        <f t="shared" si="2"/>
        <v>9792998.458333334</v>
      </c>
      <c r="AC9" s="24">
        <f t="shared" si="2"/>
        <v>9689918.416666666</v>
      </c>
      <c r="AD9" s="24">
        <f t="shared" si="2"/>
        <v>9586838.375</v>
      </c>
      <c r="AE9" s="24">
        <f t="shared" si="2"/>
        <v>9483758.333333334</v>
      </c>
      <c r="AF9" s="24">
        <f t="shared" si="2"/>
        <v>9380678.291666666</v>
      </c>
      <c r="AG9" s="24">
        <f t="shared" si="2"/>
        <v>9277598.25</v>
      </c>
      <c r="AH9" s="24">
        <f t="shared" si="2"/>
        <v>9174518.208333334</v>
      </c>
      <c r="AI9" s="24">
        <f t="shared" si="2"/>
        <v>9071438.166666666</v>
      </c>
      <c r="AJ9" s="24">
        <f t="shared" si="2"/>
        <v>8968358.125</v>
      </c>
      <c r="AK9" s="24">
        <f t="shared" si="2"/>
        <v>8865278.083333334</v>
      </c>
      <c r="AL9" s="24">
        <f t="shared" si="2"/>
        <v>8762198.041666666</v>
      </c>
      <c r="AM9" s="24">
        <f t="shared" si="2"/>
        <v>8659118</v>
      </c>
      <c r="AO9" s="36">
        <f>+SUM(C9:O9)/13</f>
        <v>13019077.54153846</v>
      </c>
      <c r="AP9" s="36">
        <f>+SUM(O9:AA9)/13</f>
        <v>10514558.75</v>
      </c>
      <c r="AQ9" s="36">
        <f>+SUM(AA9:AM9)/13</f>
        <v>9277598.25</v>
      </c>
    </row>
    <row r="10" spans="1:43" x14ac:dyDescent="0.25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43" x14ac:dyDescent="0.25">
      <c r="A11" s="7"/>
      <c r="B11" s="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43" x14ac:dyDescent="0.25">
      <c r="A12" s="7" t="s">
        <v>1</v>
      </c>
      <c r="B12" s="7" t="s">
        <v>2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14">
        <v>30402</v>
      </c>
      <c r="AB12" s="14">
        <f>AA12-($AA12/12)</f>
        <v>27868.5</v>
      </c>
      <c r="AC12" s="14">
        <f>AB12-($AA12/12)</f>
        <v>25335</v>
      </c>
      <c r="AD12" s="14">
        <f t="shared" ref="AD12:AM13" si="3">AC12-($AA12/12)</f>
        <v>22801.5</v>
      </c>
      <c r="AE12" s="14">
        <f t="shared" si="3"/>
        <v>20268</v>
      </c>
      <c r="AF12" s="14">
        <f t="shared" si="3"/>
        <v>17734.5</v>
      </c>
      <c r="AG12" s="14">
        <f t="shared" si="3"/>
        <v>15201</v>
      </c>
      <c r="AH12" s="14">
        <f t="shared" si="3"/>
        <v>12667.5</v>
      </c>
      <c r="AI12" s="14">
        <f t="shared" si="3"/>
        <v>10134</v>
      </c>
      <c r="AJ12" s="14">
        <f t="shared" si="3"/>
        <v>7600.5</v>
      </c>
      <c r="AK12" s="14">
        <f t="shared" si="3"/>
        <v>5067</v>
      </c>
      <c r="AL12" s="14">
        <f t="shared" si="3"/>
        <v>2533.5</v>
      </c>
      <c r="AM12" s="14">
        <f t="shared" si="3"/>
        <v>0</v>
      </c>
    </row>
    <row r="13" spans="1:43" x14ac:dyDescent="0.25">
      <c r="A13" s="7" t="s">
        <v>23</v>
      </c>
      <c r="B13" s="7" t="s">
        <v>24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9">
        <v>246006</v>
      </c>
      <c r="K13" s="19">
        <v>657100</v>
      </c>
      <c r="L13" s="19">
        <v>1028609</v>
      </c>
      <c r="M13" s="19">
        <v>1430062</v>
      </c>
      <c r="N13" s="19">
        <v>1688294</v>
      </c>
      <c r="O13" s="19">
        <v>1786752</v>
      </c>
      <c r="P13" s="19">
        <v>1175154</v>
      </c>
      <c r="Q13" s="19">
        <v>1076822.7573692172</v>
      </c>
      <c r="R13" s="19">
        <v>982745.78296856</v>
      </c>
      <c r="S13" s="19">
        <v>892881.15588948526</v>
      </c>
      <c r="T13" s="19">
        <v>807221.11454943917</v>
      </c>
      <c r="U13" s="19">
        <v>725756.90313227475</v>
      </c>
      <c r="V13" s="19">
        <v>647648.75428903243</v>
      </c>
      <c r="W13" s="19">
        <v>571541.17276074411</v>
      </c>
      <c r="X13" s="19">
        <v>493904.5868326202</v>
      </c>
      <c r="Y13" s="19">
        <v>414738.00227106689</v>
      </c>
      <c r="Z13" s="19">
        <v>334041.41330967797</v>
      </c>
      <c r="AA13" s="19">
        <v>251807.82571485941</v>
      </c>
      <c r="AB13" s="19">
        <f>AA13-($AA13/12)</f>
        <v>230823.84023862114</v>
      </c>
      <c r="AC13" s="19">
        <f t="shared" ref="AC13" si="4">AB13-($AA13/12)</f>
        <v>209839.85476238286</v>
      </c>
      <c r="AD13" s="19">
        <f t="shared" si="3"/>
        <v>188855.86928614459</v>
      </c>
      <c r="AE13" s="19">
        <f t="shared" si="3"/>
        <v>167871.88380990631</v>
      </c>
      <c r="AF13" s="19">
        <f t="shared" si="3"/>
        <v>146887.89833366804</v>
      </c>
      <c r="AG13" s="19">
        <f t="shared" si="3"/>
        <v>125903.91285742975</v>
      </c>
      <c r="AH13" s="19">
        <f t="shared" si="3"/>
        <v>104919.92738119146</v>
      </c>
      <c r="AI13" s="19">
        <f t="shared" si="3"/>
        <v>83935.941904953172</v>
      </c>
      <c r="AJ13" s="19">
        <f t="shared" si="3"/>
        <v>62951.956428714882</v>
      </c>
      <c r="AK13" s="19">
        <f t="shared" si="3"/>
        <v>41967.970952476593</v>
      </c>
      <c r="AL13" s="19">
        <f t="shared" si="3"/>
        <v>20983.985476238307</v>
      </c>
      <c r="AM13" s="19">
        <f t="shared" si="3"/>
        <v>0</v>
      </c>
    </row>
    <row r="14" spans="1:43" x14ac:dyDescent="0.25">
      <c r="A14" s="7" t="s">
        <v>48</v>
      </c>
      <c r="B14" s="7" t="s">
        <v>49</v>
      </c>
      <c r="C14" s="12">
        <v>179296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/>
      <c r="M14" s="19"/>
      <c r="N14" s="19">
        <v>0</v>
      </c>
      <c r="O14" s="19">
        <v>1378445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</row>
    <row r="15" spans="1:43" x14ac:dyDescent="0.25">
      <c r="A15" s="7" t="s">
        <v>28</v>
      </c>
      <c r="B15" s="7" t="s">
        <v>29</v>
      </c>
      <c r="C15" s="12">
        <v>838066</v>
      </c>
      <c r="D15" s="12">
        <f>C15+11769-18182</f>
        <v>831653</v>
      </c>
      <c r="E15" s="12">
        <f>D15+11769-4152</f>
        <v>839270</v>
      </c>
      <c r="F15" s="12">
        <f>E15+11769-1242</f>
        <v>849797</v>
      </c>
      <c r="G15" s="12">
        <f>F15+11769-15660</f>
        <v>845906</v>
      </c>
      <c r="H15" s="12">
        <f>G15+11769-9551</f>
        <v>848124</v>
      </c>
      <c r="I15" s="12">
        <f>H15+11769-23719</f>
        <v>836174</v>
      </c>
      <c r="J15" s="12">
        <f>I15+11769-14890</f>
        <v>833053</v>
      </c>
      <c r="K15" s="12">
        <f>J15+11769-24426</f>
        <v>820396</v>
      </c>
      <c r="L15" s="12">
        <f>K15-11442</f>
        <v>808954</v>
      </c>
      <c r="M15" s="12">
        <f>L15-7042</f>
        <v>801912</v>
      </c>
      <c r="N15" s="12">
        <f>M15-4532</f>
        <v>797380</v>
      </c>
      <c r="O15" s="12">
        <f>N15-13984</f>
        <v>783396</v>
      </c>
      <c r="P15" s="12">
        <v>778213</v>
      </c>
      <c r="Q15" s="12">
        <f t="shared" ref="Q15:Z15" si="5">P15+11769</f>
        <v>789982</v>
      </c>
      <c r="R15" s="12">
        <f t="shared" si="5"/>
        <v>801751</v>
      </c>
      <c r="S15" s="12">
        <f t="shared" si="5"/>
        <v>813520</v>
      </c>
      <c r="T15" s="12">
        <f t="shared" si="5"/>
        <v>825289</v>
      </c>
      <c r="U15" s="12">
        <f t="shared" si="5"/>
        <v>837058</v>
      </c>
      <c r="V15" s="12">
        <f t="shared" si="5"/>
        <v>848827</v>
      </c>
      <c r="W15" s="12">
        <f t="shared" si="5"/>
        <v>860596</v>
      </c>
      <c r="X15" s="12">
        <f t="shared" si="5"/>
        <v>872365</v>
      </c>
      <c r="Y15" s="12">
        <f t="shared" si="5"/>
        <v>884134</v>
      </c>
      <c r="Z15" s="12">
        <f t="shared" si="5"/>
        <v>895903</v>
      </c>
      <c r="AA15" s="12">
        <f t="shared" ref="AA15:AM15" si="6">Z15+11769</f>
        <v>907672</v>
      </c>
      <c r="AB15" s="12">
        <f t="shared" si="6"/>
        <v>919441</v>
      </c>
      <c r="AC15" s="12">
        <f t="shared" si="6"/>
        <v>931210</v>
      </c>
      <c r="AD15" s="12">
        <f t="shared" si="6"/>
        <v>942979</v>
      </c>
      <c r="AE15" s="12">
        <f t="shared" si="6"/>
        <v>954748</v>
      </c>
      <c r="AF15" s="12">
        <f t="shared" si="6"/>
        <v>966517</v>
      </c>
      <c r="AG15" s="12">
        <f t="shared" si="6"/>
        <v>978286</v>
      </c>
      <c r="AH15" s="12">
        <f t="shared" si="6"/>
        <v>990055</v>
      </c>
      <c r="AI15" s="12">
        <f t="shared" si="6"/>
        <v>1001824</v>
      </c>
      <c r="AJ15" s="12">
        <f t="shared" si="6"/>
        <v>1013593</v>
      </c>
      <c r="AK15" s="12">
        <f t="shared" si="6"/>
        <v>1025362</v>
      </c>
      <c r="AL15" s="12">
        <f t="shared" si="6"/>
        <v>1037131</v>
      </c>
      <c r="AM15" s="12">
        <f t="shared" si="6"/>
        <v>1048900</v>
      </c>
    </row>
    <row r="16" spans="1:43" x14ac:dyDescent="0.25">
      <c r="A16" s="22" t="s">
        <v>91</v>
      </c>
      <c r="C16" s="24">
        <f>SUM(C12:C15)</f>
        <v>1017362</v>
      </c>
      <c r="D16" s="24">
        <f t="shared" ref="D16:AM16" si="7">SUM(D12:D15)</f>
        <v>831653</v>
      </c>
      <c r="E16" s="24">
        <f t="shared" si="7"/>
        <v>839270</v>
      </c>
      <c r="F16" s="24">
        <f t="shared" si="7"/>
        <v>849797</v>
      </c>
      <c r="G16" s="24">
        <f t="shared" si="7"/>
        <v>845906</v>
      </c>
      <c r="H16" s="24">
        <f t="shared" si="7"/>
        <v>848124</v>
      </c>
      <c r="I16" s="24">
        <f t="shared" si="7"/>
        <v>836174</v>
      </c>
      <c r="J16" s="24">
        <f t="shared" si="7"/>
        <v>1079059</v>
      </c>
      <c r="K16" s="24">
        <f t="shared" si="7"/>
        <v>1477496</v>
      </c>
      <c r="L16" s="24">
        <f t="shared" si="7"/>
        <v>1837563</v>
      </c>
      <c r="M16" s="24">
        <f t="shared" si="7"/>
        <v>2231974</v>
      </c>
      <c r="N16" s="24">
        <f t="shared" si="7"/>
        <v>2485674</v>
      </c>
      <c r="O16" s="24">
        <f t="shared" si="7"/>
        <v>3948593</v>
      </c>
      <c r="P16" s="24">
        <f t="shared" si="7"/>
        <v>1953367</v>
      </c>
      <c r="Q16" s="24">
        <f t="shared" si="7"/>
        <v>1866804.7573692172</v>
      </c>
      <c r="R16" s="24">
        <f t="shared" si="7"/>
        <v>1784496.78296856</v>
      </c>
      <c r="S16" s="24">
        <f t="shared" si="7"/>
        <v>1706401.1558894853</v>
      </c>
      <c r="T16" s="24">
        <f t="shared" si="7"/>
        <v>1632510.1145494392</v>
      </c>
      <c r="U16" s="24">
        <f t="shared" si="7"/>
        <v>1562814.9031322747</v>
      </c>
      <c r="V16" s="24">
        <f t="shared" si="7"/>
        <v>1496475.7542890324</v>
      </c>
      <c r="W16" s="24">
        <f t="shared" si="7"/>
        <v>1432137.1727607441</v>
      </c>
      <c r="X16" s="24">
        <f t="shared" si="7"/>
        <v>1366269.5868326202</v>
      </c>
      <c r="Y16" s="24">
        <f t="shared" si="7"/>
        <v>1298872.0022710669</v>
      </c>
      <c r="Z16" s="24">
        <f t="shared" si="7"/>
        <v>1229944.413309678</v>
      </c>
      <c r="AA16" s="24">
        <f t="shared" si="7"/>
        <v>1189881.8257148594</v>
      </c>
      <c r="AB16" s="24">
        <f t="shared" si="7"/>
        <v>1178133.3402386212</v>
      </c>
      <c r="AC16" s="24">
        <f t="shared" si="7"/>
        <v>1166384.8547623828</v>
      </c>
      <c r="AD16" s="24">
        <f t="shared" si="7"/>
        <v>1154636.3692861446</v>
      </c>
      <c r="AE16" s="24">
        <f t="shared" si="7"/>
        <v>1142887.8838099064</v>
      </c>
      <c r="AF16" s="24">
        <f t="shared" si="7"/>
        <v>1131139.398333668</v>
      </c>
      <c r="AG16" s="24">
        <f t="shared" si="7"/>
        <v>1119390.9128574298</v>
      </c>
      <c r="AH16" s="24">
        <f t="shared" si="7"/>
        <v>1107642.4273811914</v>
      </c>
      <c r="AI16" s="24">
        <f t="shared" si="7"/>
        <v>1095893.9419049532</v>
      </c>
      <c r="AJ16" s="24">
        <f t="shared" si="7"/>
        <v>1084145.4564287148</v>
      </c>
      <c r="AK16" s="24">
        <f t="shared" si="7"/>
        <v>1072396.9709524766</v>
      </c>
      <c r="AL16" s="24">
        <f t="shared" si="7"/>
        <v>1060648.4854762384</v>
      </c>
      <c r="AM16" s="24">
        <f t="shared" si="7"/>
        <v>1048900</v>
      </c>
      <c r="AO16" s="36">
        <f>+SUM(C16:O16)/13</f>
        <v>1471434.2307692308</v>
      </c>
      <c r="AP16" s="36">
        <f>+SUM(O16:AA16)/13</f>
        <v>1728351.4206989983</v>
      </c>
      <c r="AQ16" s="36">
        <f>+SUM(AA16:AM16)/13</f>
        <v>1119390.9128574298</v>
      </c>
    </row>
    <row r="17" spans="1:43" x14ac:dyDescent="0.25">
      <c r="A17" s="7"/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43" x14ac:dyDescent="0.25">
      <c r="A18" s="7" t="s">
        <v>3</v>
      </c>
      <c r="B18" s="7" t="s">
        <v>4</v>
      </c>
      <c r="C18" s="21">
        <v>0</v>
      </c>
      <c r="D18" s="10">
        <v>701</v>
      </c>
      <c r="E18" s="10">
        <v>7198</v>
      </c>
      <c r="F18" s="10">
        <v>20113</v>
      </c>
      <c r="G18" s="10">
        <v>25354</v>
      </c>
      <c r="H18" s="10">
        <f>28441.36</f>
        <v>28441.360000000001</v>
      </c>
      <c r="I18" s="10">
        <v>34488</v>
      </c>
      <c r="J18" s="11">
        <v>39304</v>
      </c>
      <c r="K18" s="10">
        <v>66450</v>
      </c>
      <c r="L18" s="10">
        <v>74394</v>
      </c>
      <c r="M18" s="10">
        <v>108375</v>
      </c>
      <c r="N18" s="10">
        <v>135703</v>
      </c>
      <c r="O18" s="10">
        <v>289795</v>
      </c>
      <c r="P18" s="10">
        <f t="shared" ref="P18:AM18" si="8">+O18+P49</f>
        <v>289795</v>
      </c>
      <c r="Q18" s="10">
        <f t="shared" si="8"/>
        <v>513771</v>
      </c>
      <c r="R18" s="10">
        <f t="shared" si="8"/>
        <v>961723</v>
      </c>
      <c r="S18" s="10">
        <f t="shared" si="8"/>
        <v>1409675</v>
      </c>
      <c r="T18" s="10">
        <f t="shared" si="8"/>
        <v>2081603</v>
      </c>
      <c r="U18" s="10">
        <f t="shared" si="8"/>
        <v>2529555</v>
      </c>
      <c r="V18" s="10">
        <f t="shared" si="8"/>
        <v>2653535</v>
      </c>
      <c r="W18" s="10">
        <f t="shared" si="8"/>
        <v>2703535</v>
      </c>
      <c r="X18" s="10">
        <f t="shared" si="8"/>
        <v>2753535</v>
      </c>
      <c r="Y18" s="10">
        <f t="shared" si="8"/>
        <v>2753535</v>
      </c>
      <c r="Z18" s="10">
        <f t="shared" si="8"/>
        <v>2753535</v>
      </c>
      <c r="AA18" s="10">
        <f t="shared" si="8"/>
        <v>2753535</v>
      </c>
      <c r="AB18" s="10">
        <f t="shared" si="8"/>
        <v>2712473</v>
      </c>
      <c r="AC18" s="10">
        <f t="shared" si="8"/>
        <v>2671411</v>
      </c>
      <c r="AD18" s="10">
        <f t="shared" si="8"/>
        <v>2630349</v>
      </c>
      <c r="AE18" s="10">
        <f t="shared" si="8"/>
        <v>2589287</v>
      </c>
      <c r="AF18" s="10">
        <f t="shared" si="8"/>
        <v>2548225</v>
      </c>
      <c r="AG18" s="10">
        <f t="shared" si="8"/>
        <v>2507163</v>
      </c>
      <c r="AH18" s="10">
        <f t="shared" si="8"/>
        <v>2466101</v>
      </c>
      <c r="AI18" s="10">
        <f t="shared" si="8"/>
        <v>2425039</v>
      </c>
      <c r="AJ18" s="10">
        <f t="shared" si="8"/>
        <v>2383977</v>
      </c>
      <c r="AK18" s="10">
        <f t="shared" si="8"/>
        <v>2342915</v>
      </c>
      <c r="AL18" s="10">
        <f t="shared" si="8"/>
        <v>2301853</v>
      </c>
      <c r="AM18" s="10">
        <f t="shared" si="8"/>
        <v>2260791</v>
      </c>
      <c r="AO18" s="36">
        <f>+SUM(C18:O18)/13</f>
        <v>63870.489230769228</v>
      </c>
      <c r="AP18" s="36">
        <f>+SUM(O18:AA18)/13</f>
        <v>1880548.2307692308</v>
      </c>
      <c r="AQ18" s="36">
        <f>+SUM(AA18:AM18)/13</f>
        <v>2507163</v>
      </c>
    </row>
    <row r="19" spans="1:43" x14ac:dyDescent="0.25">
      <c r="A19" s="7"/>
      <c r="B19" s="7"/>
      <c r="C19" s="10"/>
      <c r="D19" s="10"/>
      <c r="E19" s="10"/>
      <c r="F19" s="10"/>
      <c r="G19" s="10"/>
      <c r="H19" s="10"/>
      <c r="I19" s="10"/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43" x14ac:dyDescent="0.25">
      <c r="C20" s="19"/>
      <c r="D20" s="19"/>
      <c r="E20" s="19"/>
      <c r="F20" s="19"/>
      <c r="G20" s="19"/>
    </row>
    <row r="21" spans="1:43" x14ac:dyDescent="0.25">
      <c r="A21" s="15" t="s">
        <v>7</v>
      </c>
    </row>
    <row r="22" spans="1:43" x14ac:dyDescent="0.25">
      <c r="A22" s="7" t="s">
        <v>30</v>
      </c>
      <c r="B22" s="7" t="s">
        <v>31</v>
      </c>
      <c r="C22" s="12">
        <v>-275836</v>
      </c>
      <c r="D22" s="14">
        <v>-407900</v>
      </c>
      <c r="E22" s="14">
        <v>-535579</v>
      </c>
      <c r="F22" s="14">
        <v>-395513</v>
      </c>
      <c r="G22" s="14">
        <v>-435166</v>
      </c>
      <c r="H22" s="14">
        <v>-383773.8</v>
      </c>
      <c r="I22" s="14">
        <v>-552602</v>
      </c>
      <c r="J22" s="14">
        <v>-583535</v>
      </c>
      <c r="K22" s="14">
        <v>-437818</v>
      </c>
      <c r="L22" s="14">
        <v>-616588</v>
      </c>
      <c r="M22" s="14">
        <v>-648715</v>
      </c>
      <c r="N22" s="14">
        <v>-560686</v>
      </c>
      <c r="O22" s="14">
        <v>-566599</v>
      </c>
      <c r="P22" s="14">
        <v>-633091.78417789598</v>
      </c>
      <c r="Q22" s="14">
        <v>-619565.16445712908</v>
      </c>
      <c r="R22" s="14">
        <v>-588845.38601330121</v>
      </c>
      <c r="S22" s="14">
        <v>-557152.71750224137</v>
      </c>
      <c r="T22" s="14">
        <v>-476148.50008381397</v>
      </c>
      <c r="U22" s="14">
        <v>-367408.80705785839</v>
      </c>
      <c r="V22" s="14">
        <v>-301116.7378833546</v>
      </c>
      <c r="W22" s="14">
        <v>-234820.80182037177</v>
      </c>
      <c r="X22" s="14">
        <v>-168520.99860723622</v>
      </c>
      <c r="Y22" s="14">
        <v>-102217.32801837176</v>
      </c>
      <c r="Z22" s="14">
        <v>-35909.789828188084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</row>
    <row r="23" spans="1:43" x14ac:dyDescent="0.25">
      <c r="A23" s="7" t="s">
        <v>32</v>
      </c>
      <c r="B23" s="7" t="s">
        <v>33</v>
      </c>
      <c r="C23" s="12">
        <v>1293720</v>
      </c>
      <c r="D23" s="10">
        <v>1044528</v>
      </c>
      <c r="E23" s="10">
        <v>1008367</v>
      </c>
      <c r="F23" s="10">
        <v>994148</v>
      </c>
      <c r="G23" s="10">
        <v>1045278</v>
      </c>
      <c r="H23" s="10">
        <v>1241230</v>
      </c>
      <c r="I23" s="10">
        <v>1551755</v>
      </c>
      <c r="J23" s="10">
        <v>1622865</v>
      </c>
      <c r="K23" s="10">
        <v>1622865</v>
      </c>
      <c r="L23" s="10">
        <v>1622865</v>
      </c>
      <c r="M23" s="10">
        <v>1622865</v>
      </c>
      <c r="N23" s="10">
        <v>1622865</v>
      </c>
      <c r="O23" s="10">
        <f>N23</f>
        <v>1622865</v>
      </c>
      <c r="P23" s="10">
        <f t="shared" ref="P23:AM23" si="9">P13</f>
        <v>1175154</v>
      </c>
      <c r="Q23" s="10">
        <f t="shared" si="9"/>
        <v>1076822.7573692172</v>
      </c>
      <c r="R23" s="10">
        <f t="shared" si="9"/>
        <v>982745.78296856</v>
      </c>
      <c r="S23" s="10">
        <f t="shared" si="9"/>
        <v>892881.15588948526</v>
      </c>
      <c r="T23" s="10">
        <f t="shared" si="9"/>
        <v>807221.11454943917</v>
      </c>
      <c r="U23" s="10">
        <f t="shared" si="9"/>
        <v>725756.90313227475</v>
      </c>
      <c r="V23" s="10">
        <f t="shared" si="9"/>
        <v>647648.75428903243</v>
      </c>
      <c r="W23" s="10">
        <f t="shared" si="9"/>
        <v>571541.17276074411</v>
      </c>
      <c r="X23" s="10">
        <f t="shared" si="9"/>
        <v>493904.5868326202</v>
      </c>
      <c r="Y23" s="10">
        <f t="shared" si="9"/>
        <v>414738.00227106689</v>
      </c>
      <c r="Z23" s="10">
        <f t="shared" si="9"/>
        <v>334041.41330967797</v>
      </c>
      <c r="AA23" s="10">
        <f t="shared" si="9"/>
        <v>251807.82571485941</v>
      </c>
      <c r="AB23" s="10">
        <f t="shared" si="9"/>
        <v>230823.84023862114</v>
      </c>
      <c r="AC23" s="10">
        <f t="shared" si="9"/>
        <v>209839.85476238286</v>
      </c>
      <c r="AD23" s="10">
        <f t="shared" si="9"/>
        <v>188855.86928614459</v>
      </c>
      <c r="AE23" s="10">
        <f t="shared" si="9"/>
        <v>167871.88380990631</v>
      </c>
      <c r="AF23" s="10">
        <f t="shared" si="9"/>
        <v>146887.89833366804</v>
      </c>
      <c r="AG23" s="10">
        <f t="shared" si="9"/>
        <v>125903.91285742975</v>
      </c>
      <c r="AH23" s="10">
        <f t="shared" si="9"/>
        <v>104919.92738119146</v>
      </c>
      <c r="AI23" s="10">
        <f t="shared" si="9"/>
        <v>83935.941904953172</v>
      </c>
      <c r="AJ23" s="10">
        <f t="shared" si="9"/>
        <v>62951.956428714882</v>
      </c>
      <c r="AK23" s="10">
        <f t="shared" si="9"/>
        <v>41967.970952476593</v>
      </c>
      <c r="AL23" s="10">
        <f t="shared" si="9"/>
        <v>20983.985476238307</v>
      </c>
      <c r="AM23" s="10">
        <f t="shared" si="9"/>
        <v>0</v>
      </c>
    </row>
    <row r="24" spans="1:43" x14ac:dyDescent="0.25">
      <c r="A24" s="7" t="s">
        <v>34</v>
      </c>
      <c r="B24" s="7" t="s">
        <v>35</v>
      </c>
      <c r="C24" s="12">
        <v>-1622865</v>
      </c>
      <c r="D24" s="12">
        <f>C24</f>
        <v>-1622865</v>
      </c>
      <c r="E24" s="12">
        <f>D24</f>
        <v>-1622865</v>
      </c>
      <c r="F24" s="10">
        <v>-1622865</v>
      </c>
      <c r="G24" s="10">
        <v>-1622865</v>
      </c>
      <c r="H24" s="10">
        <v>-1622865</v>
      </c>
      <c r="I24" s="10">
        <v>-1622865</v>
      </c>
      <c r="J24" s="10">
        <v>-1622865</v>
      </c>
      <c r="K24" s="10">
        <v>-1622865</v>
      </c>
      <c r="L24" s="10">
        <f t="shared" ref="L24:AM24" si="10">-L23</f>
        <v>-1622865</v>
      </c>
      <c r="M24" s="10">
        <f t="shared" si="10"/>
        <v>-1622865</v>
      </c>
      <c r="N24" s="10">
        <f t="shared" si="10"/>
        <v>-1622865</v>
      </c>
      <c r="O24" s="10">
        <f t="shared" si="10"/>
        <v>-1622865</v>
      </c>
      <c r="P24" s="10">
        <f t="shared" si="10"/>
        <v>-1175154</v>
      </c>
      <c r="Q24" s="10">
        <f t="shared" si="10"/>
        <v>-1076822.7573692172</v>
      </c>
      <c r="R24" s="10">
        <f t="shared" si="10"/>
        <v>-982745.78296856</v>
      </c>
      <c r="S24" s="10">
        <f t="shared" si="10"/>
        <v>-892881.15588948526</v>
      </c>
      <c r="T24" s="10">
        <f t="shared" si="10"/>
        <v>-807221.11454943917</v>
      </c>
      <c r="U24" s="10">
        <f t="shared" si="10"/>
        <v>-725756.90313227475</v>
      </c>
      <c r="V24" s="10">
        <f t="shared" si="10"/>
        <v>-647648.75428903243</v>
      </c>
      <c r="W24" s="10">
        <f t="shared" si="10"/>
        <v>-571541.17276074411</v>
      </c>
      <c r="X24" s="10">
        <f t="shared" si="10"/>
        <v>-493904.5868326202</v>
      </c>
      <c r="Y24" s="10">
        <f t="shared" si="10"/>
        <v>-414738.00227106689</v>
      </c>
      <c r="Z24" s="10">
        <f t="shared" si="10"/>
        <v>-334041.41330967797</v>
      </c>
      <c r="AA24" s="10">
        <f t="shared" si="10"/>
        <v>-251807.82571485941</v>
      </c>
      <c r="AB24" s="10">
        <f t="shared" si="10"/>
        <v>-230823.84023862114</v>
      </c>
      <c r="AC24" s="10">
        <f t="shared" si="10"/>
        <v>-209839.85476238286</v>
      </c>
      <c r="AD24" s="10">
        <f t="shared" si="10"/>
        <v>-188855.86928614459</v>
      </c>
      <c r="AE24" s="10">
        <f t="shared" si="10"/>
        <v>-167871.88380990631</v>
      </c>
      <c r="AF24" s="10">
        <f t="shared" si="10"/>
        <v>-146887.89833366804</v>
      </c>
      <c r="AG24" s="10">
        <f t="shared" si="10"/>
        <v>-125903.91285742975</v>
      </c>
      <c r="AH24" s="10">
        <f t="shared" si="10"/>
        <v>-104919.92738119146</v>
      </c>
      <c r="AI24" s="10">
        <f t="shared" si="10"/>
        <v>-83935.941904953172</v>
      </c>
      <c r="AJ24" s="10">
        <f t="shared" si="10"/>
        <v>-62951.956428714882</v>
      </c>
      <c r="AK24" s="10">
        <f t="shared" si="10"/>
        <v>-41967.970952476593</v>
      </c>
      <c r="AL24" s="10">
        <f t="shared" si="10"/>
        <v>-20983.985476238307</v>
      </c>
      <c r="AM24" s="10">
        <f t="shared" si="10"/>
        <v>0</v>
      </c>
    </row>
    <row r="25" spans="1:43" x14ac:dyDescent="0.25">
      <c r="A25" s="7" t="s">
        <v>36</v>
      </c>
      <c r="B25" s="7" t="s">
        <v>37</v>
      </c>
      <c r="C25" s="12">
        <v>0</v>
      </c>
      <c r="D25" s="12">
        <v>-1139527</v>
      </c>
      <c r="E25" s="12">
        <v>-1948008</v>
      </c>
      <c r="F25" s="12">
        <v>-2250464</v>
      </c>
      <c r="G25" s="12">
        <v>-3036496</v>
      </c>
      <c r="H25" s="12">
        <v>-3312801.9</v>
      </c>
      <c r="I25" s="12">
        <v>-3333872</v>
      </c>
      <c r="J25" s="12">
        <v>-3093692</v>
      </c>
      <c r="K25" s="12">
        <v>-2461557</v>
      </c>
      <c r="L25" s="12">
        <v>-2314355</v>
      </c>
      <c r="M25" s="12">
        <v>-1464123</v>
      </c>
      <c r="N25" s="12">
        <v>-209619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f t="shared" ref="AC25:AM25" si="11">AB25-($AA25/12)</f>
        <v>0</v>
      </c>
      <c r="AD25" s="12">
        <f t="shared" si="11"/>
        <v>0</v>
      </c>
      <c r="AE25" s="12">
        <f t="shared" si="11"/>
        <v>0</v>
      </c>
      <c r="AF25" s="12">
        <f t="shared" si="11"/>
        <v>0</v>
      </c>
      <c r="AG25" s="12">
        <f t="shared" si="11"/>
        <v>0</v>
      </c>
      <c r="AH25" s="12">
        <f t="shared" si="11"/>
        <v>0</v>
      </c>
      <c r="AI25" s="12">
        <f t="shared" si="11"/>
        <v>0</v>
      </c>
      <c r="AJ25" s="12">
        <f t="shared" si="11"/>
        <v>0</v>
      </c>
      <c r="AK25" s="12">
        <f t="shared" si="11"/>
        <v>0</v>
      </c>
      <c r="AL25" s="12">
        <f t="shared" si="11"/>
        <v>0</v>
      </c>
      <c r="AM25" s="12">
        <f t="shared" si="11"/>
        <v>0</v>
      </c>
    </row>
    <row r="26" spans="1:43" x14ac:dyDescent="0.25">
      <c r="A26" s="7" t="s">
        <v>93</v>
      </c>
      <c r="B26" s="7" t="s">
        <v>96</v>
      </c>
      <c r="C26" s="12">
        <v>-1654000</v>
      </c>
      <c r="D26" s="12">
        <v>-1654000</v>
      </c>
      <c r="E26" s="12">
        <v>-1654000</v>
      </c>
      <c r="F26" s="12">
        <v>-1654000</v>
      </c>
      <c r="G26" s="12">
        <v>-1654000</v>
      </c>
      <c r="H26" s="12">
        <v>-1654000</v>
      </c>
      <c r="I26" s="12">
        <v>-1654000</v>
      </c>
      <c r="J26" s="12">
        <v>-1654000</v>
      </c>
      <c r="K26" s="12">
        <v>-1654000</v>
      </c>
      <c r="L26" s="12">
        <v>-1654000</v>
      </c>
      <c r="M26" s="12">
        <v>-1654000</v>
      </c>
      <c r="N26" s="12">
        <v>-1654000</v>
      </c>
      <c r="O26" s="12">
        <v>-1654000</v>
      </c>
      <c r="P26" s="12">
        <v>-1654000</v>
      </c>
      <c r="Q26" s="12">
        <v>-1654000</v>
      </c>
      <c r="R26" s="12">
        <v>-1654000</v>
      </c>
      <c r="S26" s="12">
        <v>-1654000</v>
      </c>
      <c r="T26" s="12">
        <v>-1654000</v>
      </c>
      <c r="U26" s="12">
        <v>-1654000</v>
      </c>
      <c r="V26" s="12">
        <v>-1654000</v>
      </c>
      <c r="W26" s="12">
        <v>-1654000</v>
      </c>
      <c r="X26" s="12">
        <v>-1654000</v>
      </c>
      <c r="Y26" s="12">
        <v>-1654000</v>
      </c>
      <c r="Z26" s="12">
        <v>-1654000</v>
      </c>
      <c r="AA26" s="12">
        <v>-1654000</v>
      </c>
      <c r="AB26" s="12">
        <v>-1654000</v>
      </c>
      <c r="AC26" s="12">
        <v>-1654000</v>
      </c>
      <c r="AD26" s="12">
        <v>-1654000</v>
      </c>
      <c r="AE26" s="12">
        <v>-1654000</v>
      </c>
      <c r="AF26" s="12">
        <v>-1654000</v>
      </c>
      <c r="AG26" s="12">
        <v>-1654000</v>
      </c>
      <c r="AH26" s="12">
        <v>-1654000</v>
      </c>
      <c r="AI26" s="12">
        <v>-1654000</v>
      </c>
      <c r="AJ26" s="12">
        <v>-1654000</v>
      </c>
      <c r="AK26" s="12">
        <v>-1654000</v>
      </c>
      <c r="AL26" s="12">
        <v>-1654000</v>
      </c>
      <c r="AM26" s="12">
        <v>-1654000</v>
      </c>
    </row>
    <row r="27" spans="1:43" x14ac:dyDescent="0.25">
      <c r="A27" s="7" t="s">
        <v>50</v>
      </c>
      <c r="B27" s="7" t="s">
        <v>51</v>
      </c>
      <c r="C27" s="12">
        <v>-5611069</v>
      </c>
      <c r="D27" s="12">
        <v>-5611069</v>
      </c>
      <c r="E27" s="12">
        <v>-5611069</v>
      </c>
      <c r="F27" s="12">
        <v>-5611069</v>
      </c>
      <c r="G27" s="12">
        <v>-5611069</v>
      </c>
      <c r="H27" s="12">
        <v>-5611069</v>
      </c>
      <c r="I27" s="12">
        <v>-5611069</v>
      </c>
      <c r="J27" s="12">
        <v>-5611069</v>
      </c>
      <c r="K27" s="12">
        <v>-5611069</v>
      </c>
      <c r="L27" s="12">
        <v>-5611069</v>
      </c>
      <c r="M27" s="12">
        <v>-5611069</v>
      </c>
      <c r="N27" s="12">
        <v>-5611069</v>
      </c>
      <c r="O27" s="12">
        <v>-5611069</v>
      </c>
      <c r="P27" s="12">
        <v>-5611069</v>
      </c>
      <c r="Q27" s="12">
        <v>-5611069</v>
      </c>
      <c r="R27" s="12">
        <v>-5611069</v>
      </c>
      <c r="S27" s="12">
        <v>-5611069</v>
      </c>
      <c r="T27" s="12">
        <v>-5611069</v>
      </c>
      <c r="U27" s="12">
        <v>-5611069</v>
      </c>
      <c r="V27" s="12">
        <v>-5611069</v>
      </c>
      <c r="W27" s="12">
        <v>-5611069</v>
      </c>
      <c r="X27" s="12">
        <v>-5611069</v>
      </c>
      <c r="Y27" s="12">
        <v>-5611069</v>
      </c>
      <c r="Z27" s="12">
        <v>-5611069</v>
      </c>
      <c r="AA27" s="12">
        <v>-5611069</v>
      </c>
      <c r="AB27" s="12">
        <v>-5611069</v>
      </c>
      <c r="AC27" s="12">
        <v>-5611069</v>
      </c>
      <c r="AD27" s="12">
        <v>-5611069</v>
      </c>
      <c r="AE27" s="12">
        <v>-5611069</v>
      </c>
      <c r="AF27" s="12">
        <v>-5611069</v>
      </c>
      <c r="AG27" s="12">
        <v>-5611069</v>
      </c>
      <c r="AH27" s="12">
        <v>-5611069</v>
      </c>
      <c r="AI27" s="12">
        <v>-5611069</v>
      </c>
      <c r="AJ27" s="12">
        <v>-5611069</v>
      </c>
      <c r="AK27" s="12">
        <v>-5611069</v>
      </c>
      <c r="AL27" s="12">
        <v>-5611069</v>
      </c>
      <c r="AM27" s="12">
        <v>-5611069</v>
      </c>
    </row>
    <row r="28" spans="1:43" x14ac:dyDescent="0.25">
      <c r="A28" s="7" t="s">
        <v>93</v>
      </c>
      <c r="B28" s="7" t="s">
        <v>97</v>
      </c>
      <c r="C28" s="12">
        <v>1277217</v>
      </c>
      <c r="D28" s="12">
        <v>1312352</v>
      </c>
      <c r="E28" s="12">
        <v>1327946</v>
      </c>
      <c r="F28" s="12">
        <v>1396508</v>
      </c>
      <c r="G28" s="12">
        <v>1380310</v>
      </c>
      <c r="H28" s="12">
        <v>1431293</v>
      </c>
      <c r="I28" s="12">
        <v>1431622</v>
      </c>
      <c r="J28" s="12">
        <v>1507509</v>
      </c>
      <c r="K28" s="12">
        <v>1510272</v>
      </c>
      <c r="L28" s="12">
        <v>1509654</v>
      </c>
      <c r="M28" s="12">
        <v>1522834</v>
      </c>
      <c r="N28" s="12">
        <v>1535559</v>
      </c>
      <c r="O28" s="12">
        <v>1566589</v>
      </c>
      <c r="P28" s="12">
        <v>1592625.2457000001</v>
      </c>
      <c r="Q28" s="12">
        <v>1618661.4914000002</v>
      </c>
      <c r="R28" s="12">
        <v>1644697.7371000003</v>
      </c>
      <c r="S28" s="12">
        <v>1670733.9828000003</v>
      </c>
      <c r="T28" s="12">
        <v>1696770.2285000004</v>
      </c>
      <c r="U28" s="12">
        <v>1722806.4742000005</v>
      </c>
      <c r="V28" s="12">
        <v>1748842.7199000006</v>
      </c>
      <c r="W28" s="12">
        <v>1774878.9656000007</v>
      </c>
      <c r="X28" s="12">
        <v>1800915.2113000008</v>
      </c>
      <c r="Y28" s="12">
        <v>1826951.4570000009</v>
      </c>
      <c r="Z28" s="12">
        <v>1852987.702700001</v>
      </c>
      <c r="AA28" s="12">
        <v>1879023.948400001</v>
      </c>
      <c r="AB28" s="12">
        <v>1906472.0014676205</v>
      </c>
      <c r="AC28" s="12">
        <v>1933920.0545352399</v>
      </c>
      <c r="AD28" s="12">
        <v>1961368.1076028594</v>
      </c>
      <c r="AE28" s="12">
        <v>1988816.1606704788</v>
      </c>
      <c r="AF28" s="12">
        <v>2016264.2137380983</v>
      </c>
      <c r="AG28" s="12">
        <v>2043712.2668057177</v>
      </c>
      <c r="AH28" s="12">
        <v>2071160.3198733372</v>
      </c>
      <c r="AI28" s="12">
        <v>2098608.3729409566</v>
      </c>
      <c r="AJ28" s="12">
        <v>2126056.4260085761</v>
      </c>
      <c r="AK28" s="12">
        <v>2153504.4790761955</v>
      </c>
      <c r="AL28" s="12">
        <v>2180952.532143815</v>
      </c>
      <c r="AM28" s="12">
        <v>2208400.5852114344</v>
      </c>
    </row>
    <row r="29" spans="1:43" x14ac:dyDescent="0.25">
      <c r="A29" s="7" t="s">
        <v>94</v>
      </c>
      <c r="B29" s="7" t="s">
        <v>98</v>
      </c>
      <c r="C29" s="12">
        <v>-1603930</v>
      </c>
      <c r="D29" s="12">
        <v>-1565901</v>
      </c>
      <c r="E29" s="12">
        <v>-1527872</v>
      </c>
      <c r="F29" s="12">
        <v>-1489843</v>
      </c>
      <c r="G29" s="12">
        <v>-1451814</v>
      </c>
      <c r="H29" s="12">
        <v>-1413785</v>
      </c>
      <c r="I29" s="12">
        <v>-1375756</v>
      </c>
      <c r="J29" s="12">
        <v>-1337727</v>
      </c>
      <c r="K29" s="12">
        <v>-1299698</v>
      </c>
      <c r="L29" s="12">
        <v>-1261669</v>
      </c>
      <c r="M29" s="12">
        <v>-1223640</v>
      </c>
      <c r="N29" s="12">
        <v>-1185611</v>
      </c>
      <c r="O29" s="12">
        <v>-1147582</v>
      </c>
      <c r="P29" s="12">
        <v>-1109553</v>
      </c>
      <c r="Q29" s="12">
        <v>-1071524</v>
      </c>
      <c r="R29" s="12">
        <v>-1033495</v>
      </c>
      <c r="S29" s="12">
        <v>-995466</v>
      </c>
      <c r="T29" s="12">
        <v>-957437</v>
      </c>
      <c r="U29" s="12">
        <v>-919408</v>
      </c>
      <c r="V29" s="12">
        <v>-881379</v>
      </c>
      <c r="W29" s="12">
        <v>-843350</v>
      </c>
      <c r="X29" s="12">
        <v>-805321</v>
      </c>
      <c r="Y29" s="12">
        <v>-767292</v>
      </c>
      <c r="Z29" s="12">
        <v>-729263</v>
      </c>
      <c r="AA29" s="12">
        <v>-691234</v>
      </c>
      <c r="AB29" s="12">
        <v>-653205</v>
      </c>
      <c r="AC29" s="12">
        <v>-615176</v>
      </c>
      <c r="AD29" s="12">
        <v>-577147</v>
      </c>
      <c r="AE29" s="12">
        <v>-539118</v>
      </c>
      <c r="AF29" s="12">
        <v>-501089</v>
      </c>
      <c r="AG29" s="12">
        <v>-463060</v>
      </c>
      <c r="AH29" s="12">
        <v>-425031</v>
      </c>
      <c r="AI29" s="12">
        <v>-387002</v>
      </c>
      <c r="AJ29" s="12">
        <v>-348973</v>
      </c>
      <c r="AK29" s="12">
        <v>-310944</v>
      </c>
      <c r="AL29" s="12">
        <v>-272915</v>
      </c>
      <c r="AM29" s="12">
        <v>-234886</v>
      </c>
    </row>
    <row r="30" spans="1:43" x14ac:dyDescent="0.25">
      <c r="A30" s="7" t="s">
        <v>95</v>
      </c>
      <c r="B30" s="7" t="s">
        <v>99</v>
      </c>
      <c r="C30" s="12">
        <v>1654000</v>
      </c>
      <c r="D30" s="12">
        <v>1654000</v>
      </c>
      <c r="E30" s="12">
        <v>1654000</v>
      </c>
      <c r="F30" s="12">
        <v>1654000</v>
      </c>
      <c r="G30" s="12">
        <v>1654000</v>
      </c>
      <c r="H30" s="12">
        <v>1654000</v>
      </c>
      <c r="I30" s="12">
        <v>1654000</v>
      </c>
      <c r="J30" s="12">
        <v>1654000</v>
      </c>
      <c r="K30" s="12">
        <v>1654000</v>
      </c>
      <c r="L30" s="12">
        <v>1654000</v>
      </c>
      <c r="M30" s="12">
        <v>1654000</v>
      </c>
      <c r="N30" s="12">
        <v>1654000</v>
      </c>
      <c r="O30" s="12">
        <v>1654000</v>
      </c>
      <c r="P30" s="12">
        <v>1654000</v>
      </c>
      <c r="Q30" s="12">
        <v>1654000</v>
      </c>
      <c r="R30" s="12">
        <v>1654000</v>
      </c>
      <c r="S30" s="12">
        <v>1654000</v>
      </c>
      <c r="T30" s="12">
        <v>1654000</v>
      </c>
      <c r="U30" s="12">
        <v>1654000</v>
      </c>
      <c r="V30" s="12">
        <v>1654000</v>
      </c>
      <c r="W30" s="12">
        <v>1654000</v>
      </c>
      <c r="X30" s="12">
        <v>1654000</v>
      </c>
      <c r="Y30" s="12">
        <v>1654000</v>
      </c>
      <c r="Z30" s="12">
        <v>1654000</v>
      </c>
      <c r="AA30" s="12">
        <v>1654000</v>
      </c>
      <c r="AB30" s="12">
        <v>1654000</v>
      </c>
      <c r="AC30" s="12">
        <v>1654000</v>
      </c>
      <c r="AD30" s="12">
        <v>1654000</v>
      </c>
      <c r="AE30" s="12">
        <v>1654000</v>
      </c>
      <c r="AF30" s="12">
        <v>1654000</v>
      </c>
      <c r="AG30" s="12">
        <v>1654000</v>
      </c>
      <c r="AH30" s="12">
        <v>1654000</v>
      </c>
      <c r="AI30" s="12">
        <v>1654000</v>
      </c>
      <c r="AJ30" s="12">
        <v>1654000</v>
      </c>
      <c r="AK30" s="12">
        <v>1654000</v>
      </c>
      <c r="AL30" s="12">
        <v>1654000</v>
      </c>
      <c r="AM30" s="12">
        <v>1654000</v>
      </c>
    </row>
    <row r="31" spans="1:43" x14ac:dyDescent="0.25">
      <c r="A31" s="23" t="s">
        <v>92</v>
      </c>
      <c r="B31" s="7"/>
      <c r="C31" s="24">
        <f t="shared" ref="C31:AM31" si="12">SUM(C22:C30)</f>
        <v>-6542763</v>
      </c>
      <c r="D31" s="24">
        <f t="shared" si="12"/>
        <v>-7990382</v>
      </c>
      <c r="E31" s="24">
        <f t="shared" si="12"/>
        <v>-8909080</v>
      </c>
      <c r="F31" s="24">
        <f t="shared" si="12"/>
        <v>-8979098</v>
      </c>
      <c r="G31" s="24">
        <f t="shared" si="12"/>
        <v>-9731822</v>
      </c>
      <c r="H31" s="24">
        <f t="shared" si="12"/>
        <v>-9671771.6999999993</v>
      </c>
      <c r="I31" s="24">
        <f t="shared" si="12"/>
        <v>-9512787</v>
      </c>
      <c r="J31" s="24">
        <f t="shared" si="12"/>
        <v>-9118514</v>
      </c>
      <c r="K31" s="24">
        <f t="shared" si="12"/>
        <v>-8299870</v>
      </c>
      <c r="L31" s="24">
        <f t="shared" si="12"/>
        <v>-8294027</v>
      </c>
      <c r="M31" s="24">
        <f t="shared" si="12"/>
        <v>-7424713</v>
      </c>
      <c r="N31" s="24">
        <f t="shared" si="12"/>
        <v>-6031426</v>
      </c>
      <c r="O31" s="24">
        <f t="shared" si="12"/>
        <v>-5758661</v>
      </c>
      <c r="P31" s="24">
        <f t="shared" si="12"/>
        <v>-5761088.5384778958</v>
      </c>
      <c r="Q31" s="24">
        <f t="shared" si="12"/>
        <v>-5683496.6730571296</v>
      </c>
      <c r="R31" s="24">
        <f t="shared" si="12"/>
        <v>-5588711.6489133006</v>
      </c>
      <c r="S31" s="24">
        <f t="shared" si="12"/>
        <v>-5492953.7347022416</v>
      </c>
      <c r="T31" s="24">
        <f t="shared" si="12"/>
        <v>-5347884.2715838132</v>
      </c>
      <c r="U31" s="24">
        <f t="shared" si="12"/>
        <v>-5175079.3328578584</v>
      </c>
      <c r="V31" s="24">
        <f t="shared" si="12"/>
        <v>-5044722.0179833537</v>
      </c>
      <c r="W31" s="24">
        <f t="shared" si="12"/>
        <v>-4914360.8362203706</v>
      </c>
      <c r="X31" s="24">
        <f t="shared" si="12"/>
        <v>-4783995.7873072354</v>
      </c>
      <c r="Y31" s="24">
        <f t="shared" si="12"/>
        <v>-4653626.8710183706</v>
      </c>
      <c r="Z31" s="24">
        <f t="shared" si="12"/>
        <v>-4523254.0871281866</v>
      </c>
      <c r="AA31" s="24">
        <f t="shared" si="12"/>
        <v>-4423279.051599999</v>
      </c>
      <c r="AB31" s="24">
        <f t="shared" si="12"/>
        <v>-4357801.998532379</v>
      </c>
      <c r="AC31" s="24">
        <f t="shared" si="12"/>
        <v>-4292324.9454647601</v>
      </c>
      <c r="AD31" s="24">
        <f t="shared" si="12"/>
        <v>-4226847.8923971411</v>
      </c>
      <c r="AE31" s="24">
        <f t="shared" si="12"/>
        <v>-4161370.8393295212</v>
      </c>
      <c r="AF31" s="24">
        <f t="shared" si="12"/>
        <v>-4095893.7862619013</v>
      </c>
      <c r="AG31" s="24">
        <f t="shared" si="12"/>
        <v>-4030416.7331942823</v>
      </c>
      <c r="AH31" s="24">
        <f t="shared" si="12"/>
        <v>-3964939.6801266633</v>
      </c>
      <c r="AI31" s="24">
        <f t="shared" si="12"/>
        <v>-3899462.6270590434</v>
      </c>
      <c r="AJ31" s="24">
        <f t="shared" si="12"/>
        <v>-3833985.5739914235</v>
      </c>
      <c r="AK31" s="24">
        <f t="shared" si="12"/>
        <v>-3768508.5209238045</v>
      </c>
      <c r="AL31" s="24">
        <f t="shared" si="12"/>
        <v>-3703031.4678561855</v>
      </c>
      <c r="AM31" s="24">
        <f t="shared" si="12"/>
        <v>-3637554.4147885656</v>
      </c>
      <c r="AO31" s="36">
        <f>+SUM(C31:O31)/13</f>
        <v>-8174224.2076923084</v>
      </c>
      <c r="AP31" s="36">
        <f>+SUM(O31:AA31)/13</f>
        <v>-5165470.2962192111</v>
      </c>
      <c r="AQ31" s="36">
        <f>+SUM(AA31:AM31)/13</f>
        <v>-4030416.7331942832</v>
      </c>
    </row>
    <row r="32" spans="1:43" x14ac:dyDescent="0.25">
      <c r="A32" s="7"/>
      <c r="B32" s="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x14ac:dyDescent="0.25">
      <c r="M33" s="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5" spans="1:39" x14ac:dyDescent="0.25">
      <c r="A35" s="7" t="s">
        <v>69</v>
      </c>
      <c r="B35" s="7" t="s">
        <v>65</v>
      </c>
      <c r="C35" s="19">
        <v>1803913.0000000002</v>
      </c>
      <c r="D35" s="19">
        <v>1782437.666666667</v>
      </c>
      <c r="E35" s="19">
        <v>1760963.3333333337</v>
      </c>
      <c r="F35" s="19">
        <v>1739488.0000000005</v>
      </c>
      <c r="G35" s="19">
        <v>1718012.6666666672</v>
      </c>
      <c r="H35" s="19">
        <v>1696537.333333334</v>
      </c>
      <c r="I35" s="19">
        <v>1675062.0000000007</v>
      </c>
      <c r="J35" s="19">
        <v>1653586.6666666674</v>
      </c>
      <c r="K35" s="19">
        <v>1632112.3333333342</v>
      </c>
      <c r="L35" s="19">
        <v>1610637.0000000009</v>
      </c>
      <c r="M35" s="19">
        <v>1589161.6666666677</v>
      </c>
      <c r="N35" s="19">
        <v>1567687.3333333344</v>
      </c>
      <c r="O35" s="19">
        <v>1546212.0000000012</v>
      </c>
      <c r="P35" s="19">
        <v>1524736.6666666679</v>
      </c>
      <c r="Q35" s="19">
        <f t="shared" ref="P35:AM35" si="13">P35-Q45</f>
        <v>1501019.3333333347</v>
      </c>
      <c r="R35" s="19">
        <f t="shared" si="13"/>
        <v>1477302.0000000014</v>
      </c>
      <c r="S35" s="19">
        <f t="shared" si="13"/>
        <v>1453584.6666666681</v>
      </c>
      <c r="T35" s="19">
        <f t="shared" si="13"/>
        <v>1429867.3333333349</v>
      </c>
      <c r="U35" s="19">
        <f t="shared" si="13"/>
        <v>1406150.0000000016</v>
      </c>
      <c r="V35" s="19">
        <f t="shared" si="13"/>
        <v>1382432.6666666684</v>
      </c>
      <c r="W35" s="19">
        <f t="shared" si="13"/>
        <v>1358715.3333333351</v>
      </c>
      <c r="X35" s="19">
        <f t="shared" si="13"/>
        <v>1334998.0000000019</v>
      </c>
      <c r="Y35" s="19">
        <f t="shared" si="13"/>
        <v>1311280.6666666686</v>
      </c>
      <c r="Z35" s="19">
        <f t="shared" si="13"/>
        <v>1287563.3333333354</v>
      </c>
      <c r="AA35" s="19">
        <f t="shared" si="13"/>
        <v>1263846.0000000021</v>
      </c>
      <c r="AB35" s="19">
        <f t="shared" si="13"/>
        <v>1240128.6666666688</v>
      </c>
      <c r="AC35" s="19">
        <f t="shared" si="13"/>
        <v>1216411.3333333356</v>
      </c>
      <c r="AD35" s="19">
        <f t="shared" si="13"/>
        <v>1192694.0000000023</v>
      </c>
      <c r="AE35" s="19">
        <f t="shared" si="13"/>
        <v>1168976.6666666691</v>
      </c>
      <c r="AF35" s="19">
        <f t="shared" si="13"/>
        <v>1145259.3333333358</v>
      </c>
      <c r="AG35" s="19">
        <f t="shared" si="13"/>
        <v>1121542.0000000026</v>
      </c>
      <c r="AH35" s="19">
        <f t="shared" si="13"/>
        <v>1097824.6666666693</v>
      </c>
      <c r="AI35" s="19">
        <f t="shared" si="13"/>
        <v>1074107.333333336</v>
      </c>
      <c r="AJ35" s="19">
        <f t="shared" si="13"/>
        <v>1050390.0000000028</v>
      </c>
      <c r="AK35" s="19">
        <f t="shared" si="13"/>
        <v>1026672.6666666694</v>
      </c>
      <c r="AL35" s="19">
        <f t="shared" si="13"/>
        <v>1002955.333333336</v>
      </c>
      <c r="AM35" s="19">
        <f t="shared" si="13"/>
        <v>979238.00000000268</v>
      </c>
    </row>
    <row r="36" spans="1:39" x14ac:dyDescent="0.25">
      <c r="A36" s="7" t="s">
        <v>66</v>
      </c>
      <c r="B36" s="7" t="s">
        <v>67</v>
      </c>
      <c r="C36" s="19">
        <v>-20986666</v>
      </c>
      <c r="D36" s="19">
        <v>-20959542</v>
      </c>
      <c r="E36" s="19">
        <v>-20932418</v>
      </c>
      <c r="F36" s="19">
        <v>-20905294</v>
      </c>
      <c r="G36" s="19">
        <v>-20878170</v>
      </c>
      <c r="H36" s="19">
        <v>-20851046</v>
      </c>
      <c r="I36" s="19">
        <v>-20823922</v>
      </c>
      <c r="J36" s="19">
        <v>-20796798</v>
      </c>
      <c r="K36" s="19">
        <v>-20769674</v>
      </c>
      <c r="L36" s="19">
        <v>-20742550</v>
      </c>
      <c r="M36" s="19">
        <v>-20715426</v>
      </c>
      <c r="N36" s="19">
        <v>-20688302</v>
      </c>
      <c r="O36" s="19">
        <v>-20661178</v>
      </c>
      <c r="P36" s="19">
        <v>-20630129</v>
      </c>
      <c r="Q36" s="19">
        <f t="shared" ref="P36:AM36" si="14">P36-Q47</f>
        <v>-20606346</v>
      </c>
      <c r="R36" s="19">
        <f t="shared" si="14"/>
        <v>-20582563</v>
      </c>
      <c r="S36" s="19">
        <f t="shared" si="14"/>
        <v>-20558780</v>
      </c>
      <c r="T36" s="19">
        <f t="shared" si="14"/>
        <v>-20534997</v>
      </c>
      <c r="U36" s="19">
        <f t="shared" si="14"/>
        <v>-20511214</v>
      </c>
      <c r="V36" s="19">
        <f t="shared" si="14"/>
        <v>-20487431</v>
      </c>
      <c r="W36" s="19">
        <f t="shared" si="14"/>
        <v>-20463648</v>
      </c>
      <c r="X36" s="19">
        <f t="shared" si="14"/>
        <v>-20439865</v>
      </c>
      <c r="Y36" s="19">
        <f t="shared" si="14"/>
        <v>-20416082</v>
      </c>
      <c r="Z36" s="19">
        <f t="shared" si="14"/>
        <v>-20392299</v>
      </c>
      <c r="AA36" s="19">
        <f t="shared" si="14"/>
        <v>-20368516</v>
      </c>
      <c r="AB36" s="19">
        <f t="shared" si="14"/>
        <v>-20344733</v>
      </c>
      <c r="AC36" s="19">
        <f t="shared" si="14"/>
        <v>-20320950</v>
      </c>
      <c r="AD36" s="19">
        <f t="shared" si="14"/>
        <v>-20297167</v>
      </c>
      <c r="AE36" s="19">
        <f t="shared" si="14"/>
        <v>-20273384</v>
      </c>
      <c r="AF36" s="19">
        <f t="shared" si="14"/>
        <v>-20249601</v>
      </c>
      <c r="AG36" s="19">
        <f t="shared" si="14"/>
        <v>-20225818</v>
      </c>
      <c r="AH36" s="19">
        <f t="shared" si="14"/>
        <v>-20202035</v>
      </c>
      <c r="AI36" s="19">
        <f t="shared" si="14"/>
        <v>-20178252</v>
      </c>
      <c r="AJ36" s="19">
        <f t="shared" si="14"/>
        <v>-20154469</v>
      </c>
      <c r="AK36" s="19">
        <f t="shared" si="14"/>
        <v>-20130686</v>
      </c>
      <c r="AL36" s="19">
        <f t="shared" si="14"/>
        <v>-20106903</v>
      </c>
      <c r="AM36" s="19">
        <f t="shared" si="14"/>
        <v>-20083120</v>
      </c>
    </row>
    <row r="37" spans="1:39" x14ac:dyDescent="0.25">
      <c r="A37" s="7"/>
      <c r="B37" s="7"/>
      <c r="C37" s="25">
        <f t="shared" ref="C37:AM37" si="15">SUM(C35:C36)</f>
        <v>-19182753</v>
      </c>
      <c r="D37" s="25">
        <f t="shared" si="15"/>
        <v>-19177104.333333332</v>
      </c>
      <c r="E37" s="25">
        <f t="shared" si="15"/>
        <v>-19171454.666666668</v>
      </c>
      <c r="F37" s="25">
        <f t="shared" si="15"/>
        <v>-19165806</v>
      </c>
      <c r="G37" s="25">
        <f t="shared" si="15"/>
        <v>-19160157.333333332</v>
      </c>
      <c r="H37" s="25">
        <f t="shared" si="15"/>
        <v>-19154508.666666664</v>
      </c>
      <c r="I37" s="25">
        <f t="shared" si="15"/>
        <v>-19148860</v>
      </c>
      <c r="J37" s="25">
        <f t="shared" si="15"/>
        <v>-19143211.333333332</v>
      </c>
      <c r="K37" s="25">
        <f t="shared" si="15"/>
        <v>-19137561.666666664</v>
      </c>
      <c r="L37" s="25">
        <f t="shared" si="15"/>
        <v>-19131913</v>
      </c>
      <c r="M37" s="25">
        <f t="shared" si="15"/>
        <v>-19126264.333333332</v>
      </c>
      <c r="N37" s="25">
        <f t="shared" si="15"/>
        <v>-19120614.666666664</v>
      </c>
      <c r="O37" s="25">
        <f t="shared" si="15"/>
        <v>-19114966</v>
      </c>
      <c r="P37" s="25">
        <f t="shared" si="15"/>
        <v>-19105392.333333332</v>
      </c>
      <c r="Q37" s="25">
        <f t="shared" si="15"/>
        <v>-19105326.666666664</v>
      </c>
      <c r="R37" s="25">
        <f t="shared" si="15"/>
        <v>-19105261</v>
      </c>
      <c r="S37" s="25">
        <f t="shared" si="15"/>
        <v>-19105195.333333332</v>
      </c>
      <c r="T37" s="25">
        <f t="shared" si="15"/>
        <v>-19105129.666666664</v>
      </c>
      <c r="U37" s="25">
        <f t="shared" si="15"/>
        <v>-19105064</v>
      </c>
      <c r="V37" s="25">
        <f t="shared" si="15"/>
        <v>-19104998.333333332</v>
      </c>
      <c r="W37" s="25">
        <f t="shared" si="15"/>
        <v>-19104932.666666664</v>
      </c>
      <c r="X37" s="25">
        <f t="shared" si="15"/>
        <v>-19104867</v>
      </c>
      <c r="Y37" s="25">
        <f t="shared" si="15"/>
        <v>-19104801.333333332</v>
      </c>
      <c r="Z37" s="25">
        <f t="shared" si="15"/>
        <v>-19104735.666666664</v>
      </c>
      <c r="AA37" s="25">
        <f t="shared" si="15"/>
        <v>-19104669.999999996</v>
      </c>
      <c r="AB37" s="25">
        <f t="shared" si="15"/>
        <v>-19104604.333333332</v>
      </c>
      <c r="AC37" s="25">
        <f t="shared" si="15"/>
        <v>-19104538.666666664</v>
      </c>
      <c r="AD37" s="25">
        <f t="shared" si="15"/>
        <v>-19104472.999999996</v>
      </c>
      <c r="AE37" s="25">
        <f t="shared" si="15"/>
        <v>-19104407.333333332</v>
      </c>
      <c r="AF37" s="25">
        <f t="shared" si="15"/>
        <v>-19104341.666666664</v>
      </c>
      <c r="AG37" s="25">
        <f t="shared" si="15"/>
        <v>-19104275.999999996</v>
      </c>
      <c r="AH37" s="25">
        <f t="shared" si="15"/>
        <v>-19104210.333333332</v>
      </c>
      <c r="AI37" s="25">
        <f t="shared" si="15"/>
        <v>-19104144.666666664</v>
      </c>
      <c r="AJ37" s="25">
        <f t="shared" si="15"/>
        <v>-19104078.999999996</v>
      </c>
      <c r="AK37" s="25">
        <f t="shared" si="15"/>
        <v>-19104013.333333332</v>
      </c>
      <c r="AL37" s="25">
        <f t="shared" si="15"/>
        <v>-19103947.666666664</v>
      </c>
      <c r="AM37" s="25">
        <f t="shared" si="15"/>
        <v>-19103881.999999996</v>
      </c>
    </row>
    <row r="38" spans="1:39" x14ac:dyDescent="0.25">
      <c r="A38" s="7"/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 x14ac:dyDescent="0.25">
      <c r="C39" s="19"/>
      <c r="D39" s="19"/>
      <c r="E39" s="19"/>
      <c r="N39" s="19"/>
      <c r="O39" s="19"/>
      <c r="P39" s="19"/>
      <c r="Q39" s="19"/>
      <c r="R39" s="19"/>
    </row>
    <row r="40" spans="1:39" x14ac:dyDescent="0.25">
      <c r="A40" s="3" t="s">
        <v>47</v>
      </c>
      <c r="C40" s="19"/>
      <c r="D40" s="19"/>
      <c r="E40" s="19"/>
    </row>
    <row r="41" spans="1:39" x14ac:dyDescent="0.25">
      <c r="C41" s="19"/>
      <c r="D41" s="19"/>
      <c r="E41" s="19"/>
    </row>
    <row r="42" spans="1:39" x14ac:dyDescent="0.25">
      <c r="A42" s="7" t="s">
        <v>27</v>
      </c>
      <c r="B42" s="14"/>
      <c r="C42" s="14">
        <v>691.05</v>
      </c>
      <c r="D42" s="14">
        <v>691.05</v>
      </c>
      <c r="E42" s="14">
        <v>691.05</v>
      </c>
      <c r="F42" s="14">
        <v>691.05</v>
      </c>
      <c r="G42" s="14">
        <v>691.05</v>
      </c>
      <c r="H42" s="14">
        <v>691.05</v>
      </c>
      <c r="I42" s="14">
        <v>691.05</v>
      </c>
      <c r="J42" s="14">
        <v>691.05</v>
      </c>
      <c r="K42" s="14">
        <v>691.05</v>
      </c>
      <c r="L42" s="14">
        <v>691.05</v>
      </c>
      <c r="M42" s="14">
        <v>691.05</v>
      </c>
      <c r="N42" s="14">
        <v>691.05</v>
      </c>
      <c r="O42" s="14">
        <v>691.05</v>
      </c>
      <c r="P42" s="14">
        <v>691.05</v>
      </c>
      <c r="Q42" s="14">
        <v>691.05</v>
      </c>
      <c r="R42" s="14">
        <v>691.05</v>
      </c>
      <c r="S42" s="14">
        <v>691.05</v>
      </c>
      <c r="T42" s="14">
        <v>691.05</v>
      </c>
      <c r="U42" s="14">
        <v>691.05</v>
      </c>
      <c r="V42" s="14">
        <v>691.05</v>
      </c>
      <c r="W42" s="14">
        <v>691.05</v>
      </c>
      <c r="X42" s="14">
        <v>691.05</v>
      </c>
      <c r="Y42" s="14">
        <v>691.05</v>
      </c>
      <c r="Z42" s="14">
        <v>691.05</v>
      </c>
      <c r="AA42" s="14">
        <v>691.05</v>
      </c>
      <c r="AB42" s="14">
        <v>691.05</v>
      </c>
      <c r="AC42" s="14">
        <v>691.05</v>
      </c>
      <c r="AD42" s="14">
        <v>691.05</v>
      </c>
      <c r="AE42" s="14">
        <v>691.05</v>
      </c>
      <c r="AF42" s="14">
        <v>691.05</v>
      </c>
      <c r="AG42" s="14">
        <v>691.05</v>
      </c>
      <c r="AH42" s="14">
        <v>691.05</v>
      </c>
      <c r="AI42" s="14">
        <v>691.05</v>
      </c>
      <c r="AJ42" s="14">
        <v>691.05</v>
      </c>
      <c r="AK42" s="14">
        <v>691.05</v>
      </c>
      <c r="AL42" s="14">
        <v>691.05</v>
      </c>
      <c r="AM42" s="14">
        <v>691.05</v>
      </c>
    </row>
    <row r="43" spans="1:39" x14ac:dyDescent="0.25">
      <c r="A43" s="7" t="s">
        <v>25</v>
      </c>
      <c r="B43" s="14" t="s">
        <v>78</v>
      </c>
      <c r="C43" s="14">
        <v>38029</v>
      </c>
      <c r="D43" s="14">
        <v>38029</v>
      </c>
      <c r="E43" s="14">
        <v>38029</v>
      </c>
      <c r="F43" s="14">
        <v>38029</v>
      </c>
      <c r="G43" s="14">
        <v>38029</v>
      </c>
      <c r="H43" s="14">
        <v>38029</v>
      </c>
      <c r="I43" s="14">
        <v>38029</v>
      </c>
      <c r="J43" s="14">
        <v>38029</v>
      </c>
      <c r="K43" s="14">
        <v>38029</v>
      </c>
      <c r="L43" s="14">
        <v>38029</v>
      </c>
      <c r="M43" s="14">
        <v>38029</v>
      </c>
      <c r="N43" s="14">
        <v>38029</v>
      </c>
      <c r="O43" s="14">
        <v>38029</v>
      </c>
      <c r="P43" s="14">
        <v>38029</v>
      </c>
      <c r="Q43" s="14">
        <v>38029</v>
      </c>
      <c r="R43" s="14">
        <v>38029</v>
      </c>
      <c r="S43" s="14">
        <v>38029</v>
      </c>
      <c r="T43" s="14">
        <v>38029</v>
      </c>
      <c r="U43" s="14">
        <v>38029</v>
      </c>
      <c r="V43" s="14">
        <v>38029</v>
      </c>
      <c r="W43" s="14">
        <v>38029</v>
      </c>
      <c r="X43" s="14">
        <v>38029</v>
      </c>
      <c r="Y43" s="14">
        <v>38029</v>
      </c>
      <c r="Z43" s="14">
        <v>38029</v>
      </c>
      <c r="AA43" s="14">
        <v>38029</v>
      </c>
      <c r="AB43" s="14">
        <v>38029</v>
      </c>
      <c r="AC43" s="14">
        <v>38029</v>
      </c>
      <c r="AD43" s="14">
        <v>38029</v>
      </c>
      <c r="AE43" s="14">
        <v>38029</v>
      </c>
      <c r="AF43" s="14">
        <v>38029</v>
      </c>
      <c r="AG43" s="14">
        <v>38029</v>
      </c>
      <c r="AH43" s="14">
        <v>38029</v>
      </c>
      <c r="AI43" s="14">
        <v>38029</v>
      </c>
      <c r="AJ43" s="14">
        <v>38029</v>
      </c>
      <c r="AK43" s="14">
        <v>38029</v>
      </c>
      <c r="AL43" s="14">
        <v>38029</v>
      </c>
      <c r="AM43" s="14">
        <v>38029</v>
      </c>
    </row>
    <row r="44" spans="1:39" x14ac:dyDescent="0.25">
      <c r="A44" s="7" t="s">
        <v>38</v>
      </c>
      <c r="B44" s="3" t="s">
        <v>74</v>
      </c>
      <c r="C44" s="14">
        <v>151809</v>
      </c>
      <c r="D44" s="14">
        <v>151809</v>
      </c>
      <c r="E44" s="14">
        <v>151809</v>
      </c>
      <c r="F44" s="14">
        <v>151809</v>
      </c>
      <c r="G44" s="14">
        <v>151809</v>
      </c>
      <c r="H44" s="14">
        <v>151809</v>
      </c>
      <c r="I44" s="14">
        <v>151809</v>
      </c>
      <c r="J44" s="14">
        <v>151809</v>
      </c>
      <c r="K44" s="14">
        <v>151809</v>
      </c>
      <c r="L44" s="14">
        <v>151809</v>
      </c>
      <c r="M44" s="14">
        <v>151809</v>
      </c>
      <c r="N44" s="14">
        <v>151809</v>
      </c>
      <c r="O44" s="14">
        <v>151809</v>
      </c>
      <c r="P44" s="14">
        <v>151809</v>
      </c>
      <c r="Q44" s="14">
        <v>151809</v>
      </c>
      <c r="R44" s="14">
        <v>151809</v>
      </c>
      <c r="S44" s="14">
        <v>151809</v>
      </c>
      <c r="T44" s="14">
        <v>151809</v>
      </c>
      <c r="U44" s="14">
        <v>151809</v>
      </c>
      <c r="V44" s="14">
        <v>151809</v>
      </c>
      <c r="W44" s="14">
        <v>151809</v>
      </c>
      <c r="X44" s="14">
        <v>151809</v>
      </c>
      <c r="Y44" s="14">
        <v>151809</v>
      </c>
      <c r="Z44" s="14">
        <v>151809</v>
      </c>
      <c r="AA44" s="14">
        <v>151809</v>
      </c>
      <c r="AB44" s="14">
        <v>151809</v>
      </c>
      <c r="AC44" s="14">
        <v>151809</v>
      </c>
      <c r="AD44" s="14">
        <v>151809</v>
      </c>
      <c r="AE44" s="14">
        <v>151809</v>
      </c>
      <c r="AF44" s="14">
        <v>151809</v>
      </c>
      <c r="AG44" s="14">
        <v>151809</v>
      </c>
      <c r="AH44" s="14">
        <v>151809</v>
      </c>
      <c r="AI44" s="14">
        <v>151809</v>
      </c>
      <c r="AJ44" s="14">
        <v>151809</v>
      </c>
      <c r="AK44" s="14">
        <v>151809</v>
      </c>
      <c r="AL44" s="14">
        <v>151809</v>
      </c>
      <c r="AM44" s="14">
        <v>151809</v>
      </c>
    </row>
    <row r="45" spans="1:39" x14ac:dyDescent="0.25">
      <c r="A45" s="7" t="s">
        <v>72</v>
      </c>
      <c r="B45" s="3" t="s">
        <v>79</v>
      </c>
      <c r="C45" s="14">
        <v>23717.333333333332</v>
      </c>
      <c r="D45" s="14">
        <f t="shared" ref="D45:AM45" si="16">284608/12</f>
        <v>23717.333333333332</v>
      </c>
      <c r="E45" s="14">
        <f t="shared" si="16"/>
        <v>23717.333333333332</v>
      </c>
      <c r="F45" s="14">
        <f t="shared" si="16"/>
        <v>23717.333333333332</v>
      </c>
      <c r="G45" s="14">
        <f t="shared" si="16"/>
        <v>23717.333333333332</v>
      </c>
      <c r="H45" s="14">
        <f t="shared" si="16"/>
        <v>23717.333333333332</v>
      </c>
      <c r="I45" s="14">
        <f t="shared" si="16"/>
        <v>23717.333333333332</v>
      </c>
      <c r="J45" s="14">
        <f t="shared" si="16"/>
        <v>23717.333333333332</v>
      </c>
      <c r="K45" s="14">
        <f t="shared" si="16"/>
        <v>23717.333333333332</v>
      </c>
      <c r="L45" s="14">
        <f t="shared" si="16"/>
        <v>23717.333333333332</v>
      </c>
      <c r="M45" s="14">
        <f t="shared" si="16"/>
        <v>23717.333333333332</v>
      </c>
      <c r="N45" s="14">
        <f t="shared" si="16"/>
        <v>23717.333333333332</v>
      </c>
      <c r="O45" s="14">
        <f t="shared" si="16"/>
        <v>23717.333333333332</v>
      </c>
      <c r="P45" s="14">
        <f t="shared" si="16"/>
        <v>23717.333333333332</v>
      </c>
      <c r="Q45" s="14">
        <f t="shared" si="16"/>
        <v>23717.333333333332</v>
      </c>
      <c r="R45" s="14">
        <f t="shared" si="16"/>
        <v>23717.333333333332</v>
      </c>
      <c r="S45" s="14">
        <f t="shared" si="16"/>
        <v>23717.333333333332</v>
      </c>
      <c r="T45" s="14">
        <f t="shared" si="16"/>
        <v>23717.333333333332</v>
      </c>
      <c r="U45" s="14">
        <f t="shared" si="16"/>
        <v>23717.333333333332</v>
      </c>
      <c r="V45" s="14">
        <f t="shared" si="16"/>
        <v>23717.333333333332</v>
      </c>
      <c r="W45" s="14">
        <f t="shared" si="16"/>
        <v>23717.333333333332</v>
      </c>
      <c r="X45" s="14">
        <f t="shared" si="16"/>
        <v>23717.333333333332</v>
      </c>
      <c r="Y45" s="14">
        <f t="shared" si="16"/>
        <v>23717.333333333332</v>
      </c>
      <c r="Z45" s="14">
        <f t="shared" si="16"/>
        <v>23717.333333333332</v>
      </c>
      <c r="AA45" s="14">
        <f t="shared" si="16"/>
        <v>23717.333333333332</v>
      </c>
      <c r="AB45" s="14">
        <f t="shared" si="16"/>
        <v>23717.333333333332</v>
      </c>
      <c r="AC45" s="14">
        <f t="shared" si="16"/>
        <v>23717.333333333332</v>
      </c>
      <c r="AD45" s="14">
        <f t="shared" si="16"/>
        <v>23717.333333333332</v>
      </c>
      <c r="AE45" s="14">
        <f t="shared" si="16"/>
        <v>23717.333333333332</v>
      </c>
      <c r="AF45" s="14">
        <f t="shared" si="16"/>
        <v>23717.333333333332</v>
      </c>
      <c r="AG45" s="14">
        <f t="shared" si="16"/>
        <v>23717.333333333332</v>
      </c>
      <c r="AH45" s="14">
        <f t="shared" si="16"/>
        <v>23717.333333333332</v>
      </c>
      <c r="AI45" s="14">
        <f t="shared" si="16"/>
        <v>23717.333333333332</v>
      </c>
      <c r="AJ45" s="14">
        <f t="shared" si="16"/>
        <v>23717.333333333332</v>
      </c>
      <c r="AK45" s="14">
        <f t="shared" si="16"/>
        <v>23717.333333333332</v>
      </c>
      <c r="AL45" s="14">
        <f t="shared" si="16"/>
        <v>23717.333333333332</v>
      </c>
      <c r="AM45" s="14">
        <f t="shared" si="16"/>
        <v>23717.333333333332</v>
      </c>
    </row>
    <row r="46" spans="1:39" x14ac:dyDescent="0.25">
      <c r="A46" s="7" t="s">
        <v>71</v>
      </c>
      <c r="B46" s="3" t="s">
        <v>73</v>
      </c>
      <c r="C46" s="14">
        <v>-24880</v>
      </c>
      <c r="D46" s="14">
        <f t="shared" ref="D46:AM46" si="17">-298560/12</f>
        <v>-24880</v>
      </c>
      <c r="E46" s="14">
        <f t="shared" si="17"/>
        <v>-24880</v>
      </c>
      <c r="F46" s="14">
        <f t="shared" si="17"/>
        <v>-24880</v>
      </c>
      <c r="G46" s="14">
        <f t="shared" si="17"/>
        <v>-24880</v>
      </c>
      <c r="H46" s="14">
        <f t="shared" si="17"/>
        <v>-24880</v>
      </c>
      <c r="I46" s="14">
        <f t="shared" si="17"/>
        <v>-24880</v>
      </c>
      <c r="J46" s="14">
        <f t="shared" si="17"/>
        <v>-24880</v>
      </c>
      <c r="K46" s="14">
        <f t="shared" si="17"/>
        <v>-24880</v>
      </c>
      <c r="L46" s="14">
        <f t="shared" si="17"/>
        <v>-24880</v>
      </c>
      <c r="M46" s="14">
        <f t="shared" si="17"/>
        <v>-24880</v>
      </c>
      <c r="N46" s="14">
        <f t="shared" si="17"/>
        <v>-24880</v>
      </c>
      <c r="O46" s="14">
        <f t="shared" si="17"/>
        <v>-24880</v>
      </c>
      <c r="P46" s="14">
        <f t="shared" si="17"/>
        <v>-24880</v>
      </c>
      <c r="Q46" s="14">
        <f t="shared" si="17"/>
        <v>-24880</v>
      </c>
      <c r="R46" s="14">
        <f t="shared" si="17"/>
        <v>-24880</v>
      </c>
      <c r="S46" s="14">
        <f t="shared" si="17"/>
        <v>-24880</v>
      </c>
      <c r="T46" s="14">
        <f t="shared" si="17"/>
        <v>-24880</v>
      </c>
      <c r="U46" s="14">
        <f t="shared" si="17"/>
        <v>-24880</v>
      </c>
      <c r="V46" s="14">
        <f t="shared" si="17"/>
        <v>-24880</v>
      </c>
      <c r="W46" s="14">
        <f t="shared" si="17"/>
        <v>-24880</v>
      </c>
      <c r="X46" s="14">
        <f t="shared" si="17"/>
        <v>-24880</v>
      </c>
      <c r="Y46" s="14">
        <f t="shared" si="17"/>
        <v>-24880</v>
      </c>
      <c r="Z46" s="14">
        <f t="shared" si="17"/>
        <v>-24880</v>
      </c>
      <c r="AA46" s="14">
        <f t="shared" si="17"/>
        <v>-24880</v>
      </c>
      <c r="AB46" s="14">
        <f t="shared" si="17"/>
        <v>-24880</v>
      </c>
      <c r="AC46" s="14">
        <f t="shared" si="17"/>
        <v>-24880</v>
      </c>
      <c r="AD46" s="14">
        <f t="shared" si="17"/>
        <v>-24880</v>
      </c>
      <c r="AE46" s="14">
        <f t="shared" si="17"/>
        <v>-24880</v>
      </c>
      <c r="AF46" s="14">
        <f t="shared" si="17"/>
        <v>-24880</v>
      </c>
      <c r="AG46" s="14">
        <f t="shared" si="17"/>
        <v>-24880</v>
      </c>
      <c r="AH46" s="14">
        <f t="shared" si="17"/>
        <v>-24880</v>
      </c>
      <c r="AI46" s="14">
        <f t="shared" si="17"/>
        <v>-24880</v>
      </c>
      <c r="AJ46" s="14">
        <f t="shared" si="17"/>
        <v>-24880</v>
      </c>
      <c r="AK46" s="14">
        <f t="shared" si="17"/>
        <v>-24880</v>
      </c>
      <c r="AL46" s="14">
        <f t="shared" si="17"/>
        <v>-24880</v>
      </c>
      <c r="AM46" s="14">
        <f t="shared" si="17"/>
        <v>-24880</v>
      </c>
    </row>
    <row r="47" spans="1:39" x14ac:dyDescent="0.25">
      <c r="A47" s="7" t="s">
        <v>70</v>
      </c>
      <c r="B47" s="3" t="s">
        <v>80</v>
      </c>
      <c r="C47" s="14">
        <v>-23783</v>
      </c>
      <c r="D47" s="14">
        <f t="shared" ref="D47:AM47" si="18">-285396/12</f>
        <v>-23783</v>
      </c>
      <c r="E47" s="14">
        <f t="shared" si="18"/>
        <v>-23783</v>
      </c>
      <c r="F47" s="14">
        <f t="shared" si="18"/>
        <v>-23783</v>
      </c>
      <c r="G47" s="14">
        <f t="shared" si="18"/>
        <v>-23783</v>
      </c>
      <c r="H47" s="14">
        <f t="shared" si="18"/>
        <v>-23783</v>
      </c>
      <c r="I47" s="14">
        <f t="shared" si="18"/>
        <v>-23783</v>
      </c>
      <c r="J47" s="14">
        <f t="shared" si="18"/>
        <v>-23783</v>
      </c>
      <c r="K47" s="14">
        <f t="shared" si="18"/>
        <v>-23783</v>
      </c>
      <c r="L47" s="14">
        <f t="shared" si="18"/>
        <v>-23783</v>
      </c>
      <c r="M47" s="14">
        <f t="shared" si="18"/>
        <v>-23783</v>
      </c>
      <c r="N47" s="14">
        <f t="shared" si="18"/>
        <v>-23783</v>
      </c>
      <c r="O47" s="14">
        <f t="shared" si="18"/>
        <v>-23783</v>
      </c>
      <c r="P47" s="14">
        <f t="shared" si="18"/>
        <v>-23783</v>
      </c>
      <c r="Q47" s="14">
        <f t="shared" si="18"/>
        <v>-23783</v>
      </c>
      <c r="R47" s="14">
        <f t="shared" si="18"/>
        <v>-23783</v>
      </c>
      <c r="S47" s="14">
        <f t="shared" si="18"/>
        <v>-23783</v>
      </c>
      <c r="T47" s="14">
        <f t="shared" si="18"/>
        <v>-23783</v>
      </c>
      <c r="U47" s="14">
        <f t="shared" si="18"/>
        <v>-23783</v>
      </c>
      <c r="V47" s="14">
        <f t="shared" si="18"/>
        <v>-23783</v>
      </c>
      <c r="W47" s="14">
        <f t="shared" si="18"/>
        <v>-23783</v>
      </c>
      <c r="X47" s="14">
        <f t="shared" si="18"/>
        <v>-23783</v>
      </c>
      <c r="Y47" s="14">
        <f t="shared" si="18"/>
        <v>-23783</v>
      </c>
      <c r="Z47" s="14">
        <f t="shared" si="18"/>
        <v>-23783</v>
      </c>
      <c r="AA47" s="14">
        <f t="shared" si="18"/>
        <v>-23783</v>
      </c>
      <c r="AB47" s="14">
        <f t="shared" si="18"/>
        <v>-23783</v>
      </c>
      <c r="AC47" s="14">
        <f t="shared" si="18"/>
        <v>-23783</v>
      </c>
      <c r="AD47" s="14">
        <f t="shared" si="18"/>
        <v>-23783</v>
      </c>
      <c r="AE47" s="14">
        <f t="shared" si="18"/>
        <v>-23783</v>
      </c>
      <c r="AF47" s="14">
        <f t="shared" si="18"/>
        <v>-23783</v>
      </c>
      <c r="AG47" s="14">
        <f t="shared" si="18"/>
        <v>-23783</v>
      </c>
      <c r="AH47" s="14">
        <f t="shared" si="18"/>
        <v>-23783</v>
      </c>
      <c r="AI47" s="14">
        <f t="shared" si="18"/>
        <v>-23783</v>
      </c>
      <c r="AJ47" s="14">
        <f t="shared" si="18"/>
        <v>-23783</v>
      </c>
      <c r="AK47" s="14">
        <f t="shared" si="18"/>
        <v>-23783</v>
      </c>
      <c r="AL47" s="14">
        <f t="shared" si="18"/>
        <v>-23783</v>
      </c>
      <c r="AM47" s="14">
        <f t="shared" si="18"/>
        <v>-23783</v>
      </c>
    </row>
    <row r="48" spans="1:39" x14ac:dyDescent="0.25">
      <c r="A48" s="7"/>
      <c r="O48" s="14"/>
    </row>
    <row r="49" spans="3:39" x14ac:dyDescent="0.25">
      <c r="M49" s="3" t="s">
        <v>89</v>
      </c>
      <c r="P49" s="3">
        <v>0</v>
      </c>
      <c r="Q49" s="14">
        <v>223976</v>
      </c>
      <c r="R49" s="14">
        <f>223976*2</f>
        <v>447952</v>
      </c>
      <c r="S49" s="14">
        <f>223976*2</f>
        <v>447952</v>
      </c>
      <c r="T49" s="14">
        <f>223976*3</f>
        <v>671928</v>
      </c>
      <c r="U49" s="14">
        <f>223976*2</f>
        <v>447952</v>
      </c>
      <c r="V49" s="14">
        <v>123980</v>
      </c>
      <c r="W49" s="14">
        <v>50000</v>
      </c>
      <c r="X49" s="14">
        <v>50000</v>
      </c>
      <c r="Y49" s="14">
        <v>0</v>
      </c>
      <c r="Z49" s="14">
        <v>0</v>
      </c>
      <c r="AA49" s="14">
        <v>0</v>
      </c>
      <c r="AB49" s="21">
        <f>-ROUND($AA$50/60,0)</f>
        <v>-41062</v>
      </c>
      <c r="AC49" s="21">
        <f t="shared" ref="AC49:AM49" si="19">-ROUND($AA$50/60,0)</f>
        <v>-41062</v>
      </c>
      <c r="AD49" s="21">
        <f t="shared" si="19"/>
        <v>-41062</v>
      </c>
      <c r="AE49" s="21">
        <f t="shared" si="19"/>
        <v>-41062</v>
      </c>
      <c r="AF49" s="21">
        <f t="shared" si="19"/>
        <v>-41062</v>
      </c>
      <c r="AG49" s="21">
        <f t="shared" si="19"/>
        <v>-41062</v>
      </c>
      <c r="AH49" s="21">
        <f t="shared" si="19"/>
        <v>-41062</v>
      </c>
      <c r="AI49" s="21">
        <f t="shared" si="19"/>
        <v>-41062</v>
      </c>
      <c r="AJ49" s="21">
        <f t="shared" si="19"/>
        <v>-41062</v>
      </c>
      <c r="AK49" s="21">
        <f t="shared" si="19"/>
        <v>-41062</v>
      </c>
      <c r="AL49" s="21">
        <f t="shared" si="19"/>
        <v>-41062</v>
      </c>
      <c r="AM49" s="21">
        <f t="shared" si="19"/>
        <v>-41062</v>
      </c>
    </row>
    <row r="50" spans="3:39" x14ac:dyDescent="0.25">
      <c r="AA50" s="19">
        <f>+SUM(Q49:AA49)</f>
        <v>2463740</v>
      </c>
    </row>
    <row r="51" spans="3:39" x14ac:dyDescent="0.25">
      <c r="M51" s="20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3" spans="3:39" x14ac:dyDescent="0.25">
      <c r="M53" s="20"/>
      <c r="P53" s="12"/>
      <c r="R53" s="12"/>
    </row>
    <row r="56" spans="3:39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8" spans="3:39" x14ac:dyDescent="0.25"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60" spans="3:39" x14ac:dyDescent="0.25"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4" spans="3:39" x14ac:dyDescent="0.25">
      <c r="O64" s="19"/>
      <c r="P64" s="19"/>
    </row>
  </sheetData>
  <pageMargins left="0.7" right="0.7" top="0.75" bottom="0.75" header="0.3" footer="0.3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N74"/>
  <sheetViews>
    <sheetView zoomScale="85" zoomScaleNormal="85" workbookViewId="0">
      <pane xSplit="2" ySplit="5" topLeftCell="C57" activePane="bottomRight" state="frozen"/>
      <selection pane="topRight" activeCell="C1" sqref="C1"/>
      <selection pane="bottomLeft" activeCell="A5" sqref="A5"/>
      <selection pane="bottomRight" activeCell="AM8" sqref="AM8"/>
    </sheetView>
  </sheetViews>
  <sheetFormatPr defaultColWidth="9.140625" defaultRowHeight="15" x14ac:dyDescent="0.25"/>
  <cols>
    <col min="1" max="1" width="73" style="3" customWidth="1"/>
    <col min="2" max="2" width="16" style="3" bestFit="1" customWidth="1"/>
    <col min="3" max="10" width="14" style="3" bestFit="1" customWidth="1"/>
    <col min="11" max="11" width="16.85546875" style="3" customWidth="1"/>
    <col min="12" max="14" width="14" style="3" bestFit="1" customWidth="1"/>
    <col min="15" max="15" width="14.85546875" style="3" customWidth="1"/>
    <col min="16" max="39" width="14" style="3" bestFit="1" customWidth="1"/>
    <col min="40" max="40" width="9.140625" style="2"/>
    <col min="41" max="16384" width="9.140625" style="3"/>
  </cols>
  <sheetData>
    <row r="1" spans="1:39" x14ac:dyDescent="0.25">
      <c r="C1" s="9" t="s">
        <v>56</v>
      </c>
      <c r="D1" s="9" t="s">
        <v>56</v>
      </c>
      <c r="E1" s="9" t="s">
        <v>56</v>
      </c>
      <c r="F1" s="9" t="s">
        <v>56</v>
      </c>
      <c r="G1" s="9" t="s">
        <v>56</v>
      </c>
      <c r="H1" s="9" t="s">
        <v>56</v>
      </c>
      <c r="I1" s="9" t="s">
        <v>56</v>
      </c>
      <c r="J1" s="9" t="s">
        <v>56</v>
      </c>
      <c r="K1" s="9" t="s">
        <v>56</v>
      </c>
      <c r="L1" s="9" t="s">
        <v>56</v>
      </c>
      <c r="M1" s="9" t="s">
        <v>56</v>
      </c>
      <c r="N1" s="9" t="s">
        <v>56</v>
      </c>
      <c r="O1" s="9" t="s">
        <v>56</v>
      </c>
      <c r="P1" s="9" t="s">
        <v>57</v>
      </c>
      <c r="Q1" s="9" t="s">
        <v>57</v>
      </c>
      <c r="R1" s="9" t="s">
        <v>57</v>
      </c>
      <c r="S1" s="9" t="s">
        <v>57</v>
      </c>
      <c r="T1" s="9" t="s">
        <v>57</v>
      </c>
      <c r="U1" s="9" t="s">
        <v>57</v>
      </c>
      <c r="V1" s="9" t="s">
        <v>57</v>
      </c>
      <c r="W1" s="9" t="s">
        <v>57</v>
      </c>
      <c r="X1" s="9" t="s">
        <v>57</v>
      </c>
      <c r="Y1" s="9" t="s">
        <v>57</v>
      </c>
      <c r="Z1" s="9" t="s">
        <v>57</v>
      </c>
      <c r="AA1" s="9" t="s">
        <v>57</v>
      </c>
      <c r="AB1" s="9" t="s">
        <v>57</v>
      </c>
      <c r="AC1" s="9" t="s">
        <v>57</v>
      </c>
      <c r="AD1" s="9" t="s">
        <v>57</v>
      </c>
      <c r="AE1" s="9" t="s">
        <v>57</v>
      </c>
      <c r="AF1" s="9" t="s">
        <v>57</v>
      </c>
      <c r="AG1" s="9" t="s">
        <v>57</v>
      </c>
      <c r="AH1" s="9" t="s">
        <v>57</v>
      </c>
      <c r="AI1" s="9" t="s">
        <v>57</v>
      </c>
      <c r="AJ1" s="9" t="s">
        <v>57</v>
      </c>
      <c r="AK1" s="9" t="s">
        <v>57</v>
      </c>
      <c r="AL1" s="9" t="s">
        <v>57</v>
      </c>
      <c r="AM1" s="9" t="s">
        <v>57</v>
      </c>
    </row>
    <row r="2" spans="1:39" x14ac:dyDescent="0.25">
      <c r="A2" s="3" t="s">
        <v>53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10</v>
      </c>
      <c r="I2" s="18" t="s">
        <v>11</v>
      </c>
      <c r="J2" s="18" t="s">
        <v>12</v>
      </c>
      <c r="K2" s="18" t="s">
        <v>13</v>
      </c>
      <c r="L2" s="18" t="s">
        <v>14</v>
      </c>
      <c r="M2" s="18" t="s">
        <v>15</v>
      </c>
      <c r="N2" s="18" t="s">
        <v>16</v>
      </c>
      <c r="O2" s="18" t="s">
        <v>17</v>
      </c>
      <c r="P2" s="18" t="s">
        <v>18</v>
      </c>
      <c r="Q2" s="18" t="s">
        <v>19</v>
      </c>
      <c r="R2" s="18" t="s">
        <v>20</v>
      </c>
      <c r="S2" s="18" t="s">
        <v>21</v>
      </c>
      <c r="T2" s="18" t="s">
        <v>10</v>
      </c>
      <c r="U2" s="18" t="s">
        <v>11</v>
      </c>
      <c r="V2" s="18" t="s">
        <v>12</v>
      </c>
      <c r="W2" s="18" t="s">
        <v>13</v>
      </c>
      <c r="X2" s="18" t="s">
        <v>14</v>
      </c>
      <c r="Y2" s="18" t="s">
        <v>15</v>
      </c>
      <c r="Z2" s="18" t="s">
        <v>16</v>
      </c>
      <c r="AA2" s="18" t="s">
        <v>17</v>
      </c>
      <c r="AB2" s="18" t="s">
        <v>18</v>
      </c>
      <c r="AC2" s="18" t="s">
        <v>19</v>
      </c>
      <c r="AD2" s="18" t="s">
        <v>20</v>
      </c>
      <c r="AE2" s="18" t="s">
        <v>21</v>
      </c>
      <c r="AF2" s="18" t="s">
        <v>10</v>
      </c>
      <c r="AG2" s="18" t="s">
        <v>11</v>
      </c>
      <c r="AH2" s="18" t="s">
        <v>12</v>
      </c>
      <c r="AI2" s="18" t="s">
        <v>13</v>
      </c>
      <c r="AJ2" s="18" t="s">
        <v>14</v>
      </c>
      <c r="AK2" s="18" t="s">
        <v>15</v>
      </c>
      <c r="AL2" s="18" t="s">
        <v>16</v>
      </c>
      <c r="AM2" s="18" t="s">
        <v>17</v>
      </c>
    </row>
    <row r="3" spans="1:39" x14ac:dyDescent="0.25">
      <c r="C3" s="9">
        <v>2020</v>
      </c>
      <c r="D3" s="9">
        <v>2021</v>
      </c>
      <c r="E3" s="9">
        <v>2021</v>
      </c>
      <c r="F3" s="9">
        <v>2021</v>
      </c>
      <c r="G3" s="9">
        <v>2021</v>
      </c>
      <c r="H3" s="9">
        <v>2021</v>
      </c>
      <c r="I3" s="9">
        <v>2021</v>
      </c>
      <c r="J3" s="9">
        <v>2021</v>
      </c>
      <c r="K3" s="9">
        <v>2021</v>
      </c>
      <c r="L3" s="9">
        <v>2021</v>
      </c>
      <c r="M3" s="9">
        <v>2021</v>
      </c>
      <c r="N3" s="9">
        <v>2021</v>
      </c>
      <c r="O3" s="9">
        <v>2021</v>
      </c>
      <c r="P3" s="9">
        <v>2022</v>
      </c>
      <c r="Q3" s="9">
        <v>2022</v>
      </c>
      <c r="R3" s="9">
        <v>2022</v>
      </c>
      <c r="S3" s="9">
        <v>2022</v>
      </c>
      <c r="T3" s="9">
        <v>2022</v>
      </c>
      <c r="U3" s="9">
        <v>2022</v>
      </c>
      <c r="V3" s="9">
        <v>2022</v>
      </c>
      <c r="W3" s="9">
        <v>2022</v>
      </c>
      <c r="X3" s="9">
        <v>2022</v>
      </c>
      <c r="Y3" s="9">
        <v>2022</v>
      </c>
      <c r="Z3" s="9">
        <v>2022</v>
      </c>
      <c r="AA3" s="9">
        <v>2022</v>
      </c>
      <c r="AB3" s="9">
        <v>2023</v>
      </c>
      <c r="AC3" s="9">
        <v>2023</v>
      </c>
      <c r="AD3" s="9">
        <v>2023</v>
      </c>
      <c r="AE3" s="9">
        <v>2023</v>
      </c>
      <c r="AF3" s="9">
        <v>2023</v>
      </c>
      <c r="AG3" s="9">
        <v>2023</v>
      </c>
      <c r="AH3" s="9">
        <v>2023</v>
      </c>
      <c r="AI3" s="9">
        <v>2023</v>
      </c>
      <c r="AJ3" s="9">
        <v>2023</v>
      </c>
      <c r="AK3" s="9">
        <v>2023</v>
      </c>
      <c r="AL3" s="9">
        <v>2023</v>
      </c>
      <c r="AM3" s="9">
        <v>2023</v>
      </c>
    </row>
    <row r="5" spans="1:39" x14ac:dyDescent="0.25">
      <c r="A5" s="15" t="s">
        <v>0</v>
      </c>
      <c r="B5" s="16" t="s">
        <v>107</v>
      </c>
    </row>
    <row r="6" spans="1:39" x14ac:dyDescent="0.25">
      <c r="A6" s="7" t="s">
        <v>39</v>
      </c>
      <c r="B6" s="7" t="s">
        <v>40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8935</v>
      </c>
      <c r="AB6" s="14">
        <f>AA6-($AA6/12)</f>
        <v>8190.416666666667</v>
      </c>
      <c r="AC6" s="14">
        <f t="shared" ref="AC6:AL6" si="0">AB6-($AA6/12)</f>
        <v>7445.8333333333339</v>
      </c>
      <c r="AD6" s="14">
        <f t="shared" si="0"/>
        <v>6701.2500000000009</v>
      </c>
      <c r="AE6" s="14">
        <f t="shared" si="0"/>
        <v>5956.6666666666679</v>
      </c>
      <c r="AF6" s="14">
        <f t="shared" si="0"/>
        <v>5212.0833333333348</v>
      </c>
      <c r="AG6" s="14">
        <f t="shared" si="0"/>
        <v>4467.5000000000018</v>
      </c>
      <c r="AH6" s="14">
        <f t="shared" si="0"/>
        <v>3722.9166666666683</v>
      </c>
      <c r="AI6" s="14">
        <f t="shared" si="0"/>
        <v>2978.3333333333348</v>
      </c>
      <c r="AJ6" s="14">
        <f t="shared" si="0"/>
        <v>2233.7500000000014</v>
      </c>
      <c r="AK6" s="14">
        <f t="shared" si="0"/>
        <v>1489.1666666666679</v>
      </c>
      <c r="AL6" s="14">
        <f t="shared" si="0"/>
        <v>744.58333333333451</v>
      </c>
      <c r="AM6" s="14"/>
    </row>
    <row r="7" spans="1:39" x14ac:dyDescent="0.25">
      <c r="A7" s="7"/>
      <c r="B7" s="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1:39" x14ac:dyDescent="0.25">
      <c r="A8" s="3" t="s">
        <v>76</v>
      </c>
      <c r="B8" s="3" t="s">
        <v>77</v>
      </c>
      <c r="C8" s="14">
        <v>105738</v>
      </c>
      <c r="D8" s="14">
        <v>114536</v>
      </c>
      <c r="E8" s="14">
        <v>122465</v>
      </c>
      <c r="F8" s="14">
        <v>107341</v>
      </c>
      <c r="G8" s="14">
        <v>112322</v>
      </c>
      <c r="H8" s="14">
        <v>116961.67</v>
      </c>
      <c r="I8" s="14">
        <v>73451</v>
      </c>
      <c r="J8" s="14">
        <v>149438</v>
      </c>
      <c r="K8" s="14">
        <v>149438</v>
      </c>
      <c r="L8" s="14">
        <v>149438</v>
      </c>
      <c r="M8" s="14">
        <v>149438</v>
      </c>
      <c r="N8" s="14">
        <v>149438</v>
      </c>
      <c r="O8" s="14">
        <v>149438</v>
      </c>
      <c r="P8" s="14">
        <v>143211.42000000001</v>
      </c>
      <c r="Q8" s="14">
        <v>136984.84000000003</v>
      </c>
      <c r="R8" s="14">
        <v>130758.26000000002</v>
      </c>
      <c r="S8" s="14">
        <v>124531.68000000002</v>
      </c>
      <c r="T8" s="14">
        <v>118305.10000000002</v>
      </c>
      <c r="U8" s="14">
        <v>112078.52000000002</v>
      </c>
      <c r="V8" s="14">
        <v>105851.94000000002</v>
      </c>
      <c r="W8" s="14">
        <v>99625.360000000015</v>
      </c>
      <c r="X8" s="14">
        <v>93398.780000000013</v>
      </c>
      <c r="Y8" s="14">
        <v>87172.200000000012</v>
      </c>
      <c r="Z8" s="14">
        <v>80945.62000000001</v>
      </c>
      <c r="AA8" s="14">
        <v>74719.040000000008</v>
      </c>
      <c r="AB8" s="14">
        <v>68492.460000000006</v>
      </c>
      <c r="AC8" s="14">
        <v>62265.880000000005</v>
      </c>
      <c r="AD8" s="14">
        <v>56039.3</v>
      </c>
      <c r="AE8" s="14">
        <v>49812.72</v>
      </c>
      <c r="AF8" s="14">
        <v>43586.14</v>
      </c>
      <c r="AG8" s="14">
        <v>37359.56</v>
      </c>
      <c r="AH8" s="14">
        <v>31132.979999999996</v>
      </c>
      <c r="AI8" s="14">
        <v>24906.399999999994</v>
      </c>
      <c r="AJ8" s="14">
        <v>18679.819999999992</v>
      </c>
      <c r="AK8" s="14">
        <v>12453.239999999993</v>
      </c>
      <c r="AL8" s="14">
        <v>6226.6599999999926</v>
      </c>
      <c r="AM8" s="14"/>
    </row>
    <row r="9" spans="1:39" x14ac:dyDescent="0.25">
      <c r="A9" s="7"/>
      <c r="B9" s="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1" spans="1:39" x14ac:dyDescent="0.25">
      <c r="A11" s="7"/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x14ac:dyDescent="0.25">
      <c r="A12" s="7" t="s">
        <v>23</v>
      </c>
      <c r="B12" s="7" t="s">
        <v>24</v>
      </c>
      <c r="C12" s="14">
        <v>278276</v>
      </c>
      <c r="D12" s="14">
        <v>278276</v>
      </c>
      <c r="E12" s="14">
        <v>194635</v>
      </c>
      <c r="F12" s="14">
        <v>136971</v>
      </c>
      <c r="G12" s="14">
        <v>106287</v>
      </c>
      <c r="H12" s="14">
        <v>129524.04</v>
      </c>
      <c r="I12" s="14">
        <v>178389</v>
      </c>
      <c r="J12" s="14">
        <v>209618</v>
      </c>
      <c r="K12" s="14">
        <v>244590</v>
      </c>
      <c r="L12" s="14">
        <v>309111</v>
      </c>
      <c r="M12" s="14">
        <v>342238</v>
      </c>
      <c r="N12" s="14">
        <v>349131</v>
      </c>
      <c r="O12" s="14">
        <v>314117</v>
      </c>
      <c r="P12" s="14">
        <v>299294.29471803561</v>
      </c>
      <c r="Q12" s="14">
        <v>293555.17899865465</v>
      </c>
      <c r="R12" s="14">
        <v>287399.13797140628</v>
      </c>
      <c r="S12" s="14">
        <v>280825.17163629044</v>
      </c>
      <c r="T12" s="14">
        <v>273834.27999330714</v>
      </c>
      <c r="U12" s="14">
        <v>266426.46304245642</v>
      </c>
      <c r="V12" s="14">
        <v>258600.7207837383</v>
      </c>
      <c r="W12" s="14">
        <v>250358.05321715272</v>
      </c>
      <c r="X12" s="14">
        <v>241697.46034269972</v>
      </c>
      <c r="Y12" s="14">
        <v>232619.94216037932</v>
      </c>
      <c r="Z12" s="14">
        <v>223124.49867019145</v>
      </c>
      <c r="AA12" s="14">
        <v>213212.12987213611</v>
      </c>
      <c r="AB12" s="14">
        <f t="shared" ref="AB12:AL12" si="1">AA12-($AA12/12)</f>
        <v>195444.45238279144</v>
      </c>
      <c r="AC12" s="14">
        <f t="shared" si="1"/>
        <v>177676.77489344677</v>
      </c>
      <c r="AD12" s="14">
        <f t="shared" si="1"/>
        <v>159909.0974041021</v>
      </c>
      <c r="AE12" s="14">
        <f t="shared" si="1"/>
        <v>142141.41991475743</v>
      </c>
      <c r="AF12" s="14">
        <f t="shared" si="1"/>
        <v>124373.74242541275</v>
      </c>
      <c r="AG12" s="14">
        <f t="shared" si="1"/>
        <v>106606.06493606808</v>
      </c>
      <c r="AH12" s="14">
        <f t="shared" si="1"/>
        <v>88838.387446723413</v>
      </c>
      <c r="AI12" s="14">
        <f t="shared" si="1"/>
        <v>71070.709957378742</v>
      </c>
      <c r="AJ12" s="14">
        <f t="shared" si="1"/>
        <v>53303.032468034071</v>
      </c>
      <c r="AK12" s="14">
        <f t="shared" si="1"/>
        <v>35535.3549786894</v>
      </c>
      <c r="AL12" s="14">
        <f t="shared" si="1"/>
        <v>17767.677489344725</v>
      </c>
      <c r="AM12" s="14"/>
    </row>
    <row r="13" spans="1:39" x14ac:dyDescent="0.25">
      <c r="A13" s="7" t="s">
        <v>41</v>
      </c>
      <c r="B13" s="7" t="s">
        <v>42</v>
      </c>
      <c r="C13" s="14">
        <v>2420000</v>
      </c>
      <c r="D13" s="14">
        <v>2420000</v>
      </c>
      <c r="E13" s="14">
        <v>2420000</v>
      </c>
      <c r="F13" s="14">
        <v>2420000</v>
      </c>
      <c r="G13" s="14">
        <v>2420000</v>
      </c>
      <c r="H13" s="14">
        <v>2438112.61</v>
      </c>
      <c r="I13" s="14">
        <v>2438112.61</v>
      </c>
      <c r="J13" s="14">
        <v>2441354.61</v>
      </c>
      <c r="K13" s="14">
        <v>2445661.61</v>
      </c>
      <c r="L13" s="14">
        <v>2448671.61</v>
      </c>
      <c r="M13" s="14">
        <v>2460631.61</v>
      </c>
      <c r="N13" s="14">
        <v>2460808.61</v>
      </c>
      <c r="O13" s="14">
        <f>N13+7580</f>
        <v>2468388.61</v>
      </c>
      <c r="P13" s="14">
        <f>O13-2468389</f>
        <v>-0.39000000013038516</v>
      </c>
      <c r="Q13" s="14">
        <f t="shared" ref="Q13:AM13" si="2">P13</f>
        <v>-0.39000000013038516</v>
      </c>
      <c r="R13" s="14">
        <f t="shared" si="2"/>
        <v>-0.39000000013038516</v>
      </c>
      <c r="S13" s="14">
        <f t="shared" si="2"/>
        <v>-0.39000000013038516</v>
      </c>
      <c r="T13" s="14">
        <f t="shared" si="2"/>
        <v>-0.39000000013038516</v>
      </c>
      <c r="U13" s="14">
        <f t="shared" si="2"/>
        <v>-0.39000000013038516</v>
      </c>
      <c r="V13" s="14">
        <f t="shared" si="2"/>
        <v>-0.39000000013038516</v>
      </c>
      <c r="W13" s="14">
        <f t="shared" si="2"/>
        <v>-0.39000000013038516</v>
      </c>
      <c r="X13" s="14">
        <f t="shared" si="2"/>
        <v>-0.39000000013038516</v>
      </c>
      <c r="Y13" s="14">
        <f t="shared" si="2"/>
        <v>-0.39000000013038516</v>
      </c>
      <c r="Z13" s="14">
        <f t="shared" si="2"/>
        <v>-0.39000000013038516</v>
      </c>
      <c r="AA13" s="14">
        <f t="shared" si="2"/>
        <v>-0.39000000013038516</v>
      </c>
      <c r="AB13" s="14">
        <f t="shared" si="2"/>
        <v>-0.39000000013038516</v>
      </c>
      <c r="AC13" s="14">
        <f t="shared" si="2"/>
        <v>-0.39000000013038516</v>
      </c>
      <c r="AD13" s="14">
        <f t="shared" si="2"/>
        <v>-0.39000000013038516</v>
      </c>
      <c r="AE13" s="14">
        <f t="shared" si="2"/>
        <v>-0.39000000013038516</v>
      </c>
      <c r="AF13" s="14">
        <f t="shared" si="2"/>
        <v>-0.39000000013038516</v>
      </c>
      <c r="AG13" s="14">
        <f t="shared" si="2"/>
        <v>-0.39000000013038516</v>
      </c>
      <c r="AH13" s="14">
        <f t="shared" si="2"/>
        <v>-0.39000000013038516</v>
      </c>
      <c r="AI13" s="14">
        <f t="shared" si="2"/>
        <v>-0.39000000013038516</v>
      </c>
      <c r="AJ13" s="14">
        <f t="shared" si="2"/>
        <v>-0.39000000013038516</v>
      </c>
      <c r="AK13" s="14">
        <f t="shared" si="2"/>
        <v>-0.39000000013038516</v>
      </c>
      <c r="AL13" s="14">
        <f t="shared" si="2"/>
        <v>-0.39000000013038516</v>
      </c>
      <c r="AM13" s="14">
        <f t="shared" si="2"/>
        <v>-0.39000000013038516</v>
      </c>
    </row>
    <row r="14" spans="1:39" x14ac:dyDescent="0.25">
      <c r="A14" s="7" t="s">
        <v>43</v>
      </c>
      <c r="B14" s="7" t="s">
        <v>44</v>
      </c>
      <c r="C14" s="14">
        <v>-2420000</v>
      </c>
      <c r="D14" s="14">
        <v>-2420000</v>
      </c>
      <c r="E14" s="14">
        <v>-2420000</v>
      </c>
      <c r="F14" s="14">
        <v>-2420000</v>
      </c>
      <c r="G14" s="14">
        <v>-2416757</v>
      </c>
      <c r="H14" s="14">
        <v>-2416757</v>
      </c>
      <c r="I14" s="14">
        <v>-2416757</v>
      </c>
      <c r="J14" s="14">
        <v>-2420000</v>
      </c>
      <c r="K14" s="14">
        <v>-2420000</v>
      </c>
      <c r="L14" s="14">
        <v>-2420000</v>
      </c>
      <c r="M14" s="14">
        <v>-2420000</v>
      </c>
      <c r="N14" s="14">
        <v>-2420000</v>
      </c>
      <c r="O14" s="14">
        <f>N14</f>
        <v>-2420000</v>
      </c>
      <c r="P14" s="14">
        <f>O14+2420000</f>
        <v>0</v>
      </c>
      <c r="Q14" s="14">
        <f t="shared" ref="Q14:AM14" si="3">P14</f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0</v>
      </c>
      <c r="AB14" s="14">
        <f t="shared" si="3"/>
        <v>0</v>
      </c>
      <c r="AC14" s="14">
        <f t="shared" si="3"/>
        <v>0</v>
      </c>
      <c r="AD14" s="14">
        <f t="shared" si="3"/>
        <v>0</v>
      </c>
      <c r="AE14" s="14">
        <f t="shared" si="3"/>
        <v>0</v>
      </c>
      <c r="AF14" s="14">
        <f t="shared" si="3"/>
        <v>0</v>
      </c>
      <c r="AG14" s="14">
        <f t="shared" si="3"/>
        <v>0</v>
      </c>
      <c r="AH14" s="14">
        <f t="shared" si="3"/>
        <v>0</v>
      </c>
      <c r="AI14" s="14">
        <f t="shared" si="3"/>
        <v>0</v>
      </c>
      <c r="AJ14" s="14">
        <f t="shared" si="3"/>
        <v>0</v>
      </c>
      <c r="AK14" s="14">
        <f t="shared" si="3"/>
        <v>0</v>
      </c>
      <c r="AL14" s="14">
        <f t="shared" si="3"/>
        <v>0</v>
      </c>
      <c r="AM14" s="14">
        <f t="shared" si="3"/>
        <v>0</v>
      </c>
    </row>
    <row r="15" spans="1:39" x14ac:dyDescent="0.25">
      <c r="A15" s="7" t="s">
        <v>101</v>
      </c>
      <c r="B15" s="7" t="s">
        <v>100</v>
      </c>
      <c r="C15" s="14">
        <v>18000</v>
      </c>
      <c r="D15" s="14">
        <v>18000</v>
      </c>
      <c r="E15" s="14">
        <v>18000</v>
      </c>
      <c r="F15" s="14">
        <v>18000</v>
      </c>
      <c r="G15" s="14">
        <v>18000</v>
      </c>
      <c r="H15" s="14">
        <v>18000</v>
      </c>
      <c r="I15" s="14">
        <v>18000</v>
      </c>
      <c r="J15" s="14">
        <v>18000</v>
      </c>
      <c r="K15" s="14">
        <v>18000</v>
      </c>
      <c r="L15" s="14">
        <v>18000</v>
      </c>
      <c r="M15" s="14">
        <v>18000</v>
      </c>
      <c r="N15" s="14">
        <v>18000</v>
      </c>
      <c r="O15" s="14">
        <v>18000</v>
      </c>
      <c r="P15" s="14">
        <v>18000</v>
      </c>
      <c r="Q15" s="14">
        <v>18000</v>
      </c>
      <c r="R15" s="14">
        <v>18000</v>
      </c>
      <c r="S15" s="14">
        <v>18000</v>
      </c>
      <c r="T15" s="14">
        <v>18000</v>
      </c>
      <c r="U15" s="14">
        <v>18000</v>
      </c>
      <c r="V15" s="14">
        <v>18000</v>
      </c>
      <c r="W15" s="14">
        <v>18000</v>
      </c>
      <c r="X15" s="14">
        <v>18000</v>
      </c>
      <c r="Y15" s="14">
        <v>18000</v>
      </c>
      <c r="Z15" s="14">
        <v>18000</v>
      </c>
      <c r="AA15" s="14">
        <v>18000</v>
      </c>
      <c r="AB15" s="14">
        <v>18000</v>
      </c>
      <c r="AC15" s="14">
        <v>18000</v>
      </c>
      <c r="AD15" s="14">
        <v>18000</v>
      </c>
      <c r="AE15" s="14">
        <v>18000</v>
      </c>
      <c r="AF15" s="14">
        <v>18000</v>
      </c>
      <c r="AG15" s="14">
        <v>18000</v>
      </c>
      <c r="AH15" s="14">
        <v>18000</v>
      </c>
      <c r="AI15" s="14">
        <v>18000</v>
      </c>
      <c r="AJ15" s="14">
        <v>18000</v>
      </c>
      <c r="AK15" s="14">
        <v>18000</v>
      </c>
      <c r="AL15" s="14">
        <v>18000</v>
      </c>
      <c r="AM15" s="14">
        <v>18000</v>
      </c>
    </row>
    <row r="16" spans="1:39" x14ac:dyDescent="0.25">
      <c r="A16" s="7" t="s">
        <v>102</v>
      </c>
      <c r="B16" s="7" t="s">
        <v>103</v>
      </c>
      <c r="C16" s="14">
        <v>384000</v>
      </c>
      <c r="D16" s="14">
        <v>382500</v>
      </c>
      <c r="E16" s="14">
        <v>381000</v>
      </c>
      <c r="F16" s="14">
        <v>379500</v>
      </c>
      <c r="G16" s="14">
        <v>378000</v>
      </c>
      <c r="H16" s="14">
        <v>376500</v>
      </c>
      <c r="I16" s="14">
        <v>375000</v>
      </c>
      <c r="J16" s="14">
        <v>373500</v>
      </c>
      <c r="K16" s="14">
        <v>372000</v>
      </c>
      <c r="L16" s="14">
        <v>370500</v>
      </c>
      <c r="M16" s="14">
        <v>369000</v>
      </c>
      <c r="N16" s="14">
        <v>367500</v>
      </c>
      <c r="O16" s="14">
        <v>366000</v>
      </c>
      <c r="P16" s="14">
        <v>364500</v>
      </c>
      <c r="Q16" s="14">
        <v>363000</v>
      </c>
      <c r="R16" s="14">
        <v>361500</v>
      </c>
      <c r="S16" s="14">
        <v>360000</v>
      </c>
      <c r="T16" s="14">
        <v>358500</v>
      </c>
      <c r="U16" s="14">
        <v>357000</v>
      </c>
      <c r="V16" s="14">
        <v>355500</v>
      </c>
      <c r="W16" s="14">
        <v>354000</v>
      </c>
      <c r="X16" s="14">
        <v>352500</v>
      </c>
      <c r="Y16" s="14">
        <v>351000</v>
      </c>
      <c r="Z16" s="14">
        <v>349500</v>
      </c>
      <c r="AA16" s="14">
        <v>348000</v>
      </c>
      <c r="AB16" s="14">
        <v>346500</v>
      </c>
      <c r="AC16" s="14">
        <v>345000</v>
      </c>
      <c r="AD16" s="14">
        <v>343500</v>
      </c>
      <c r="AE16" s="14">
        <v>342000</v>
      </c>
      <c r="AF16" s="14">
        <v>340500</v>
      </c>
      <c r="AG16" s="14">
        <v>339000</v>
      </c>
      <c r="AH16" s="14">
        <v>337500</v>
      </c>
      <c r="AI16" s="14">
        <v>336000</v>
      </c>
      <c r="AJ16" s="14">
        <v>334500</v>
      </c>
      <c r="AK16" s="14">
        <v>333000</v>
      </c>
      <c r="AL16" s="14">
        <v>331500</v>
      </c>
      <c r="AM16" s="14">
        <v>331500</v>
      </c>
    </row>
    <row r="17" spans="1:39" x14ac:dyDescent="0.25">
      <c r="A17" s="7"/>
      <c r="B17" s="7"/>
      <c r="C17" s="41">
        <f t="shared" ref="C17:O17" si="4">SUM(C12:C16)</f>
        <v>680276</v>
      </c>
      <c r="D17" s="41">
        <f t="shared" si="4"/>
        <v>678776</v>
      </c>
      <c r="E17" s="41">
        <f t="shared" si="4"/>
        <v>593635</v>
      </c>
      <c r="F17" s="41">
        <f t="shared" si="4"/>
        <v>534471</v>
      </c>
      <c r="G17" s="41">
        <f t="shared" si="4"/>
        <v>505530</v>
      </c>
      <c r="H17" s="41">
        <f t="shared" si="4"/>
        <v>545379.64999999991</v>
      </c>
      <c r="I17" s="41">
        <f t="shared" si="4"/>
        <v>592744.60999999987</v>
      </c>
      <c r="J17" s="41">
        <f t="shared" si="4"/>
        <v>622472.60999999987</v>
      </c>
      <c r="K17" s="41">
        <f t="shared" si="4"/>
        <v>660251.60999999987</v>
      </c>
      <c r="L17" s="41">
        <f t="shared" si="4"/>
        <v>726282.60999999987</v>
      </c>
      <c r="M17" s="41">
        <f t="shared" si="4"/>
        <v>769869.60999999987</v>
      </c>
      <c r="N17" s="41">
        <f t="shared" si="4"/>
        <v>775439.60999999987</v>
      </c>
      <c r="O17" s="41">
        <f t="shared" si="4"/>
        <v>746505.60999999987</v>
      </c>
      <c r="P17" s="41">
        <f t="shared" ref="P17:AM17" si="5">SUM(P12:P16)</f>
        <v>681793.90471803548</v>
      </c>
      <c r="Q17" s="41">
        <f t="shared" si="5"/>
        <v>674554.78899865458</v>
      </c>
      <c r="R17" s="41">
        <f t="shared" si="5"/>
        <v>666898.74797140621</v>
      </c>
      <c r="S17" s="41">
        <f t="shared" si="5"/>
        <v>658824.78163629025</v>
      </c>
      <c r="T17" s="41">
        <f t="shared" si="5"/>
        <v>650333.88999330695</v>
      </c>
      <c r="U17" s="41">
        <f t="shared" si="5"/>
        <v>641426.07304245629</v>
      </c>
      <c r="V17" s="41">
        <f t="shared" si="5"/>
        <v>632100.33078373817</v>
      </c>
      <c r="W17" s="41">
        <f t="shared" si="5"/>
        <v>622357.66321715259</v>
      </c>
      <c r="X17" s="41">
        <f t="shared" si="5"/>
        <v>612197.07034269953</v>
      </c>
      <c r="Y17" s="41">
        <f t="shared" si="5"/>
        <v>601619.55216037924</v>
      </c>
      <c r="Z17" s="41">
        <f t="shared" si="5"/>
        <v>590624.10867019137</v>
      </c>
      <c r="AA17" s="41">
        <f t="shared" si="5"/>
        <v>579211.73987213592</v>
      </c>
      <c r="AB17" s="41">
        <f t="shared" si="5"/>
        <v>559944.06238279131</v>
      </c>
      <c r="AC17" s="41">
        <f t="shared" si="5"/>
        <v>540676.3848934467</v>
      </c>
      <c r="AD17" s="41">
        <f t="shared" si="5"/>
        <v>521408.70740410197</v>
      </c>
      <c r="AE17" s="41">
        <f t="shared" si="5"/>
        <v>502141.0299147573</v>
      </c>
      <c r="AF17" s="41">
        <f t="shared" si="5"/>
        <v>482873.35242541262</v>
      </c>
      <c r="AG17" s="41">
        <f t="shared" si="5"/>
        <v>463605.67493606795</v>
      </c>
      <c r="AH17" s="41">
        <f t="shared" si="5"/>
        <v>444337.99744672328</v>
      </c>
      <c r="AI17" s="41">
        <f t="shared" si="5"/>
        <v>425070.31995737861</v>
      </c>
      <c r="AJ17" s="41">
        <f t="shared" si="5"/>
        <v>405802.64246803394</v>
      </c>
      <c r="AK17" s="41">
        <f t="shared" si="5"/>
        <v>386534.96497868927</v>
      </c>
      <c r="AL17" s="41">
        <f t="shared" si="5"/>
        <v>367267.2874893446</v>
      </c>
      <c r="AM17" s="41">
        <f t="shared" si="5"/>
        <v>349499.60999999987</v>
      </c>
    </row>
    <row r="18" spans="1:39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x14ac:dyDescent="0.25">
      <c r="A19" s="7" t="s">
        <v>3</v>
      </c>
      <c r="B19" s="7" t="s">
        <v>4</v>
      </c>
      <c r="C19" s="14"/>
      <c r="D19" s="14">
        <v>140</v>
      </c>
      <c r="E19" s="14">
        <v>7138</v>
      </c>
      <c r="F19" s="14">
        <v>11226</v>
      </c>
      <c r="G19" s="14">
        <v>13889</v>
      </c>
      <c r="H19" s="14">
        <v>13978.15</v>
      </c>
      <c r="I19" s="14">
        <v>18224</v>
      </c>
      <c r="J19" s="14">
        <v>20437</v>
      </c>
      <c r="K19" s="14">
        <v>22804</v>
      </c>
      <c r="L19" s="14">
        <v>23504</v>
      </c>
      <c r="M19" s="14">
        <v>24167</v>
      </c>
      <c r="N19" s="14">
        <v>23768</v>
      </c>
      <c r="O19" s="14">
        <v>26013</v>
      </c>
      <c r="P19" s="14">
        <f t="shared" ref="P19:AM19" si="6">+O19+P61</f>
        <v>26013</v>
      </c>
      <c r="Q19" s="14">
        <f t="shared" si="6"/>
        <v>112263</v>
      </c>
      <c r="R19" s="14">
        <f t="shared" si="6"/>
        <v>284763</v>
      </c>
      <c r="S19" s="14">
        <f t="shared" si="6"/>
        <v>457263</v>
      </c>
      <c r="T19" s="14">
        <f t="shared" si="6"/>
        <v>716013</v>
      </c>
      <c r="U19" s="14">
        <f t="shared" si="6"/>
        <v>888513</v>
      </c>
      <c r="V19" s="14">
        <f t="shared" si="6"/>
        <v>944766</v>
      </c>
      <c r="W19" s="14">
        <f t="shared" si="6"/>
        <v>964766</v>
      </c>
      <c r="X19" s="14">
        <f t="shared" si="6"/>
        <v>974766</v>
      </c>
      <c r="Y19" s="14">
        <f t="shared" si="6"/>
        <v>974766</v>
      </c>
      <c r="Z19" s="14">
        <f t="shared" si="6"/>
        <v>974766</v>
      </c>
      <c r="AA19" s="14">
        <f t="shared" si="6"/>
        <v>974766</v>
      </c>
      <c r="AB19" s="14">
        <f t="shared" si="6"/>
        <v>958953</v>
      </c>
      <c r="AC19" s="14">
        <f t="shared" si="6"/>
        <v>943140</v>
      </c>
      <c r="AD19" s="14">
        <f t="shared" si="6"/>
        <v>927327</v>
      </c>
      <c r="AE19" s="14">
        <f t="shared" si="6"/>
        <v>911514</v>
      </c>
      <c r="AF19" s="14">
        <f t="shared" si="6"/>
        <v>895701</v>
      </c>
      <c r="AG19" s="14">
        <f t="shared" si="6"/>
        <v>879888</v>
      </c>
      <c r="AH19" s="14">
        <f t="shared" si="6"/>
        <v>864075</v>
      </c>
      <c r="AI19" s="14">
        <f t="shared" si="6"/>
        <v>848262</v>
      </c>
      <c r="AJ19" s="14">
        <f t="shared" si="6"/>
        <v>832449</v>
      </c>
      <c r="AK19" s="14">
        <f t="shared" si="6"/>
        <v>816636</v>
      </c>
      <c r="AL19" s="14">
        <f t="shared" si="6"/>
        <v>800823</v>
      </c>
      <c r="AM19" s="14">
        <f t="shared" si="6"/>
        <v>785010</v>
      </c>
    </row>
    <row r="20" spans="1:39" x14ac:dyDescent="0.25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x14ac:dyDescent="0.25">
      <c r="A21" s="7"/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x14ac:dyDescent="0.25">
      <c r="A22" s="7"/>
      <c r="B22" s="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</row>
    <row r="23" spans="1:39" x14ac:dyDescent="0.25">
      <c r="A23" s="7" t="s">
        <v>58</v>
      </c>
      <c r="B23" s="7">
        <v>16911911</v>
      </c>
      <c r="C23" s="14">
        <v>39681</v>
      </c>
      <c r="D23" s="14">
        <v>39681</v>
      </c>
      <c r="E23" s="14">
        <v>0</v>
      </c>
      <c r="F23" s="14">
        <v>0</v>
      </c>
      <c r="G23" s="14">
        <v>141366</v>
      </c>
      <c r="H23" s="14">
        <v>266154.57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>N23</f>
        <v>0</v>
      </c>
      <c r="P23" s="14">
        <f t="shared" ref="P23:W23" si="7">O23</f>
        <v>0</v>
      </c>
      <c r="Q23" s="14">
        <f t="shared" si="7"/>
        <v>0</v>
      </c>
      <c r="R23" s="14">
        <f t="shared" si="7"/>
        <v>0</v>
      </c>
      <c r="S23" s="14">
        <f t="shared" si="7"/>
        <v>0</v>
      </c>
      <c r="T23" s="14">
        <f t="shared" si="7"/>
        <v>0</v>
      </c>
      <c r="U23" s="14">
        <f t="shared" si="7"/>
        <v>0</v>
      </c>
      <c r="V23" s="14">
        <f t="shared" si="7"/>
        <v>0</v>
      </c>
      <c r="W23" s="14">
        <f t="shared" si="7"/>
        <v>0</v>
      </c>
      <c r="X23" s="14">
        <f t="shared" ref="X23:AM23" si="8">W23</f>
        <v>0</v>
      </c>
      <c r="Y23" s="14">
        <f t="shared" si="8"/>
        <v>0</v>
      </c>
      <c r="Z23" s="14">
        <f t="shared" si="8"/>
        <v>0</v>
      </c>
      <c r="AA23" s="14">
        <f t="shared" si="8"/>
        <v>0</v>
      </c>
      <c r="AB23" s="14">
        <f t="shared" si="8"/>
        <v>0</v>
      </c>
      <c r="AC23" s="14">
        <f t="shared" si="8"/>
        <v>0</v>
      </c>
      <c r="AD23" s="14">
        <f t="shared" si="8"/>
        <v>0</v>
      </c>
      <c r="AE23" s="14">
        <f t="shared" si="8"/>
        <v>0</v>
      </c>
      <c r="AF23" s="14">
        <f t="shared" si="8"/>
        <v>0</v>
      </c>
      <c r="AG23" s="14">
        <f t="shared" si="8"/>
        <v>0</v>
      </c>
      <c r="AH23" s="14">
        <f t="shared" si="8"/>
        <v>0</v>
      </c>
      <c r="AI23" s="14">
        <f t="shared" si="8"/>
        <v>0</v>
      </c>
      <c r="AJ23" s="14">
        <f t="shared" si="8"/>
        <v>0</v>
      </c>
      <c r="AK23" s="14">
        <f t="shared" si="8"/>
        <v>0</v>
      </c>
      <c r="AL23" s="14">
        <f t="shared" si="8"/>
        <v>0</v>
      </c>
      <c r="AM23" s="14">
        <f t="shared" si="8"/>
        <v>0</v>
      </c>
    </row>
    <row r="24" spans="1:39" x14ac:dyDescent="0.25">
      <c r="A24" s="7" t="s">
        <v>45</v>
      </c>
      <c r="B24" s="7" t="s">
        <v>46</v>
      </c>
      <c r="C24" s="14">
        <v>0</v>
      </c>
      <c r="D24" s="14">
        <v>-11570</v>
      </c>
      <c r="E24" s="14">
        <v>-49117</v>
      </c>
      <c r="F24" s="14">
        <v>-228313</v>
      </c>
      <c r="G24" s="14">
        <v>0</v>
      </c>
      <c r="H24" s="14">
        <v>0</v>
      </c>
      <c r="I24" s="14">
        <v>-8358</v>
      </c>
      <c r="J24" s="14">
        <v>-173322</v>
      </c>
      <c r="K24" s="14">
        <v>-387227</v>
      </c>
      <c r="L24" s="14">
        <v>-497930</v>
      </c>
      <c r="M24" s="14">
        <v>-163523</v>
      </c>
      <c r="N24" s="14">
        <v>-170829</v>
      </c>
      <c r="O24" s="14">
        <v>-291411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39" x14ac:dyDescent="0.25">
      <c r="A25" s="7"/>
      <c r="B25" s="7"/>
      <c r="C25" s="41">
        <f t="shared" ref="C25:AM25" si="9">SUM(C23:C24)</f>
        <v>39681</v>
      </c>
      <c r="D25" s="41">
        <f t="shared" si="9"/>
        <v>28111</v>
      </c>
      <c r="E25" s="41">
        <f t="shared" si="9"/>
        <v>-49117</v>
      </c>
      <c r="F25" s="41">
        <f t="shared" si="9"/>
        <v>-228313</v>
      </c>
      <c r="G25" s="41">
        <f t="shared" si="9"/>
        <v>141366</v>
      </c>
      <c r="H25" s="41">
        <f t="shared" si="9"/>
        <v>266154.57</v>
      </c>
      <c r="I25" s="41">
        <f t="shared" si="9"/>
        <v>-8358</v>
      </c>
      <c r="J25" s="41">
        <f t="shared" si="9"/>
        <v>-173322</v>
      </c>
      <c r="K25" s="41">
        <f t="shared" si="9"/>
        <v>-387227</v>
      </c>
      <c r="L25" s="41">
        <f t="shared" si="9"/>
        <v>-497930</v>
      </c>
      <c r="M25" s="41">
        <f t="shared" si="9"/>
        <v>-163523</v>
      </c>
      <c r="N25" s="41">
        <f t="shared" si="9"/>
        <v>-170829</v>
      </c>
      <c r="O25" s="41">
        <f t="shared" si="9"/>
        <v>-291411</v>
      </c>
      <c r="P25" s="41">
        <f t="shared" si="9"/>
        <v>0</v>
      </c>
      <c r="Q25" s="41">
        <f t="shared" si="9"/>
        <v>0</v>
      </c>
      <c r="R25" s="41">
        <f t="shared" si="9"/>
        <v>0</v>
      </c>
      <c r="S25" s="41">
        <f t="shared" si="9"/>
        <v>0</v>
      </c>
      <c r="T25" s="41">
        <f t="shared" si="9"/>
        <v>0</v>
      </c>
      <c r="U25" s="41">
        <f t="shared" si="9"/>
        <v>0</v>
      </c>
      <c r="V25" s="41">
        <f t="shared" si="9"/>
        <v>0</v>
      </c>
      <c r="W25" s="41">
        <f t="shared" si="9"/>
        <v>0</v>
      </c>
      <c r="X25" s="41">
        <f t="shared" si="9"/>
        <v>0</v>
      </c>
      <c r="Y25" s="41">
        <f t="shared" si="9"/>
        <v>0</v>
      </c>
      <c r="Z25" s="41">
        <f t="shared" si="9"/>
        <v>0</v>
      </c>
      <c r="AA25" s="41">
        <f t="shared" si="9"/>
        <v>0</v>
      </c>
      <c r="AB25" s="41">
        <f t="shared" si="9"/>
        <v>0</v>
      </c>
      <c r="AC25" s="41">
        <f t="shared" si="9"/>
        <v>0</v>
      </c>
      <c r="AD25" s="41">
        <f t="shared" si="9"/>
        <v>0</v>
      </c>
      <c r="AE25" s="41">
        <f t="shared" si="9"/>
        <v>0</v>
      </c>
      <c r="AF25" s="41">
        <f t="shared" si="9"/>
        <v>0</v>
      </c>
      <c r="AG25" s="41">
        <f t="shared" si="9"/>
        <v>0</v>
      </c>
      <c r="AH25" s="41">
        <f t="shared" si="9"/>
        <v>0</v>
      </c>
      <c r="AI25" s="41">
        <f t="shared" si="9"/>
        <v>0</v>
      </c>
      <c r="AJ25" s="41">
        <f t="shared" si="9"/>
        <v>0</v>
      </c>
      <c r="AK25" s="41">
        <f t="shared" si="9"/>
        <v>0</v>
      </c>
      <c r="AL25" s="41">
        <f t="shared" si="9"/>
        <v>0</v>
      </c>
      <c r="AM25" s="41">
        <f t="shared" si="9"/>
        <v>0</v>
      </c>
    </row>
    <row r="26" spans="1:39" x14ac:dyDescent="0.25">
      <c r="A26" s="7"/>
      <c r="B26" s="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39" x14ac:dyDescent="0.25">
      <c r="A27" s="15" t="s">
        <v>7</v>
      </c>
      <c r="B27" s="1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x14ac:dyDescent="0.25">
      <c r="A28" s="7" t="s">
        <v>30</v>
      </c>
      <c r="B28" s="7" t="s">
        <v>31</v>
      </c>
      <c r="C28" s="14">
        <v>-83065</v>
      </c>
      <c r="D28" s="14">
        <v>-122835</v>
      </c>
      <c r="E28" s="14">
        <v>-161284</v>
      </c>
      <c r="F28" s="14">
        <v>-119104</v>
      </c>
      <c r="G28" s="14">
        <v>-131045</v>
      </c>
      <c r="H28" s="14">
        <v>-115569.34</v>
      </c>
      <c r="I28" s="14">
        <v>-166410</v>
      </c>
      <c r="J28" s="14">
        <v>-175725</v>
      </c>
      <c r="K28" s="14">
        <v>-131844</v>
      </c>
      <c r="L28" s="14">
        <v>-185679</v>
      </c>
      <c r="M28" s="14">
        <v>-195354</v>
      </c>
      <c r="N28" s="14">
        <v>-168844</v>
      </c>
      <c r="O28" s="14">
        <v>-170625</v>
      </c>
      <c r="P28" s="14">
        <v>-186058.88117473974</v>
      </c>
      <c r="Q28" s="14">
        <v>-182083.55280337224</v>
      </c>
      <c r="R28" s="14">
        <v>-173055.3395963147</v>
      </c>
      <c r="S28" s="14">
        <v>-163741.20443932971</v>
      </c>
      <c r="T28" s="14">
        <v>-139934.93425864936</v>
      </c>
      <c r="U28" s="14">
        <v>-107977.50544764957</v>
      </c>
      <c r="V28" s="14">
        <v>-88494.977748473553</v>
      </c>
      <c r="W28" s="14">
        <v>-69011.313612272104</v>
      </c>
      <c r="X28" s="14">
        <v>-49526.512962142115</v>
      </c>
      <c r="Y28" s="14">
        <v>-30040.575731789198</v>
      </c>
      <c r="Z28" s="14">
        <v>-10553.501854914766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</row>
    <row r="29" spans="1:39" x14ac:dyDescent="0.25">
      <c r="A29" s="7" t="s">
        <v>32</v>
      </c>
      <c r="B29" s="7" t="s">
        <v>33</v>
      </c>
      <c r="C29" s="14">
        <v>278276</v>
      </c>
      <c r="D29" s="14">
        <v>208058</v>
      </c>
      <c r="E29" s="14">
        <v>194635</v>
      </c>
      <c r="F29" s="14">
        <v>136971</v>
      </c>
      <c r="G29" s="14">
        <v>106287</v>
      </c>
      <c r="H29" s="14">
        <v>129524.04</v>
      </c>
      <c r="I29" s="14">
        <v>178389</v>
      </c>
      <c r="J29" s="14">
        <v>178389</v>
      </c>
      <c r="K29" s="14">
        <v>178389</v>
      </c>
      <c r="L29" s="14">
        <v>178389</v>
      </c>
      <c r="M29" s="14">
        <v>178389</v>
      </c>
      <c r="N29" s="14">
        <v>178389</v>
      </c>
      <c r="O29" s="14">
        <v>178389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</row>
    <row r="30" spans="1:39" x14ac:dyDescent="0.25">
      <c r="A30" s="7" t="s">
        <v>34</v>
      </c>
      <c r="B30" s="7" t="s">
        <v>35</v>
      </c>
      <c r="C30" s="14">
        <v>-278276</v>
      </c>
      <c r="D30" s="14">
        <v>-278276</v>
      </c>
      <c r="E30" s="14">
        <v>-194635</v>
      </c>
      <c r="F30" s="14">
        <v>-136971</v>
      </c>
      <c r="G30" s="14">
        <v>-106287</v>
      </c>
      <c r="H30" s="14">
        <v>-129524.04</v>
      </c>
      <c r="I30" s="14">
        <v>-178389</v>
      </c>
      <c r="J30" s="14">
        <v>-178389</v>
      </c>
      <c r="K30" s="14">
        <v>-178389</v>
      </c>
      <c r="L30" s="14">
        <v>-178389</v>
      </c>
      <c r="M30" s="14">
        <v>-178389</v>
      </c>
      <c r="N30" s="14">
        <v>-178389</v>
      </c>
      <c r="O30" s="14">
        <v>-178389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</row>
    <row r="31" spans="1:39" x14ac:dyDescent="0.25">
      <c r="A31" s="7" t="s">
        <v>50</v>
      </c>
      <c r="B31" s="7" t="s">
        <v>51</v>
      </c>
      <c r="C31" s="14">
        <v>2404841</v>
      </c>
      <c r="D31" s="14">
        <v>2407394</v>
      </c>
      <c r="E31" s="14">
        <v>2412627</v>
      </c>
      <c r="F31" s="14">
        <v>2418121</v>
      </c>
      <c r="G31" s="14">
        <v>2420000</v>
      </c>
      <c r="H31" s="14">
        <v>2420000</v>
      </c>
      <c r="I31" s="14">
        <v>2417487</v>
      </c>
      <c r="J31" s="14">
        <v>2418958</v>
      </c>
      <c r="K31" s="14">
        <v>2420000</v>
      </c>
      <c r="L31" s="14">
        <v>2420000</v>
      </c>
      <c r="M31" s="14">
        <v>2420000</v>
      </c>
      <c r="N31" s="14">
        <v>2420000</v>
      </c>
      <c r="O31" s="14">
        <f t="shared" ref="O31:AM31" si="10">N31</f>
        <v>2420000</v>
      </c>
      <c r="P31" s="14">
        <f t="shared" si="10"/>
        <v>2420000</v>
      </c>
      <c r="Q31" s="14">
        <f t="shared" si="10"/>
        <v>2420000</v>
      </c>
      <c r="R31" s="14">
        <f t="shared" si="10"/>
        <v>2420000</v>
      </c>
      <c r="S31" s="14">
        <f t="shared" si="10"/>
        <v>2420000</v>
      </c>
      <c r="T31" s="14">
        <f t="shared" si="10"/>
        <v>2420000</v>
      </c>
      <c r="U31" s="14">
        <f t="shared" si="10"/>
        <v>2420000</v>
      </c>
      <c r="V31" s="14">
        <f t="shared" si="10"/>
        <v>2420000</v>
      </c>
      <c r="W31" s="14">
        <f t="shared" si="10"/>
        <v>2420000</v>
      </c>
      <c r="X31" s="14">
        <f t="shared" si="10"/>
        <v>2420000</v>
      </c>
      <c r="Y31" s="14">
        <f t="shared" si="10"/>
        <v>2420000</v>
      </c>
      <c r="Z31" s="14">
        <f t="shared" si="10"/>
        <v>2420000</v>
      </c>
      <c r="AA31" s="14">
        <f t="shared" si="10"/>
        <v>2420000</v>
      </c>
      <c r="AB31" s="14">
        <f t="shared" si="10"/>
        <v>2420000</v>
      </c>
      <c r="AC31" s="14">
        <f t="shared" si="10"/>
        <v>2420000</v>
      </c>
      <c r="AD31" s="14">
        <f t="shared" si="10"/>
        <v>2420000</v>
      </c>
      <c r="AE31" s="14">
        <f t="shared" si="10"/>
        <v>2420000</v>
      </c>
      <c r="AF31" s="14">
        <f t="shared" si="10"/>
        <v>2420000</v>
      </c>
      <c r="AG31" s="14">
        <f t="shared" si="10"/>
        <v>2420000</v>
      </c>
      <c r="AH31" s="14">
        <f t="shared" si="10"/>
        <v>2420000</v>
      </c>
      <c r="AI31" s="14">
        <f t="shared" si="10"/>
        <v>2420000</v>
      </c>
      <c r="AJ31" s="14">
        <f t="shared" si="10"/>
        <v>2420000</v>
      </c>
      <c r="AK31" s="14">
        <f t="shared" si="10"/>
        <v>2420000</v>
      </c>
      <c r="AL31" s="14">
        <f t="shared" si="10"/>
        <v>2420000</v>
      </c>
      <c r="AM31" s="14">
        <f t="shared" si="10"/>
        <v>2420000</v>
      </c>
    </row>
    <row r="32" spans="1:39" x14ac:dyDescent="0.25">
      <c r="A32" s="7" t="s">
        <v>86</v>
      </c>
      <c r="B32" s="7" t="s">
        <v>104</v>
      </c>
      <c r="C32" s="14">
        <v>-100000</v>
      </c>
      <c r="D32" s="14">
        <v>-100000</v>
      </c>
      <c r="E32" s="14">
        <v>-100000</v>
      </c>
      <c r="F32" s="14">
        <v>-100000</v>
      </c>
      <c r="G32" s="14">
        <v>-100000</v>
      </c>
      <c r="H32" s="14">
        <v>-100000</v>
      </c>
      <c r="I32" s="14">
        <v>-100000</v>
      </c>
      <c r="J32" s="14">
        <v>-100000</v>
      </c>
      <c r="K32" s="14">
        <v>-100000</v>
      </c>
      <c r="L32" s="14">
        <v>-100000</v>
      </c>
      <c r="M32" s="14">
        <v>-100000</v>
      </c>
      <c r="N32" s="14">
        <v>-100000</v>
      </c>
      <c r="O32" s="14">
        <v>-100000</v>
      </c>
      <c r="P32" s="14">
        <v>-100000</v>
      </c>
      <c r="Q32" s="14">
        <v>-100000</v>
      </c>
      <c r="R32" s="14">
        <v>-100000</v>
      </c>
      <c r="S32" s="14">
        <v>-100000</v>
      </c>
      <c r="T32" s="14">
        <v>-100000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</row>
    <row r="33" spans="1:39" x14ac:dyDescent="0.25">
      <c r="A33" s="7" t="s">
        <v>105</v>
      </c>
      <c r="B33" s="7" t="s">
        <v>106</v>
      </c>
      <c r="C33" s="14">
        <v>-164630</v>
      </c>
      <c r="D33" s="14">
        <v>-183917</v>
      </c>
      <c r="E33" s="14">
        <v>-164204</v>
      </c>
      <c r="F33" s="14">
        <v>-144491</v>
      </c>
      <c r="G33" s="14">
        <v>-124778</v>
      </c>
      <c r="H33" s="14">
        <v>-105065</v>
      </c>
      <c r="I33" s="14">
        <v>-85352</v>
      </c>
      <c r="J33" s="14">
        <v>-65639</v>
      </c>
      <c r="K33" s="14">
        <v>-45926</v>
      </c>
      <c r="L33" s="14">
        <v>-26213</v>
      </c>
      <c r="M33" s="14">
        <v>-6500</v>
      </c>
      <c r="N33" s="14">
        <v>-184343</v>
      </c>
      <c r="O33" s="14">
        <v>-164630</v>
      </c>
      <c r="P33" s="14">
        <v>-183917</v>
      </c>
      <c r="Q33" s="14">
        <v>-183917</v>
      </c>
      <c r="R33" s="14">
        <v>-183917</v>
      </c>
      <c r="S33" s="14">
        <v>-183917</v>
      </c>
      <c r="T33" s="14">
        <v>-183917</v>
      </c>
      <c r="U33" s="14">
        <v>-183917</v>
      </c>
      <c r="V33" s="14">
        <v>-183917</v>
      </c>
      <c r="W33" s="14">
        <v>-183917</v>
      </c>
      <c r="X33" s="14">
        <v>-183917</v>
      </c>
      <c r="Y33" s="14">
        <v>-183917</v>
      </c>
      <c r="Z33" s="14">
        <v>-183917</v>
      </c>
      <c r="AA33" s="14">
        <v>-183917</v>
      </c>
      <c r="AB33" s="14">
        <v>-183917</v>
      </c>
      <c r="AC33" s="14">
        <v>-183917</v>
      </c>
      <c r="AD33" s="14">
        <v>-183917</v>
      </c>
      <c r="AE33" s="14">
        <v>-183917</v>
      </c>
      <c r="AF33" s="14">
        <v>-183917</v>
      </c>
      <c r="AG33" s="14">
        <v>-183917</v>
      </c>
      <c r="AH33" s="14">
        <v>-183917</v>
      </c>
      <c r="AI33" s="14">
        <v>-183917</v>
      </c>
      <c r="AJ33" s="14">
        <v>-183917</v>
      </c>
      <c r="AK33" s="14">
        <v>-183917</v>
      </c>
      <c r="AL33" s="14">
        <v>-183917</v>
      </c>
      <c r="AM33" s="14">
        <v>-183917</v>
      </c>
    </row>
    <row r="34" spans="1:39" x14ac:dyDescent="0.25">
      <c r="A34" s="27" t="s">
        <v>85</v>
      </c>
      <c r="C34" s="41">
        <f t="shared" ref="C34:AM34" si="11">SUM(C28:C33)</f>
        <v>2057146</v>
      </c>
      <c r="D34" s="41">
        <f t="shared" si="11"/>
        <v>1930424</v>
      </c>
      <c r="E34" s="41">
        <f t="shared" si="11"/>
        <v>1987139</v>
      </c>
      <c r="F34" s="41">
        <f t="shared" si="11"/>
        <v>2054526</v>
      </c>
      <c r="G34" s="41">
        <f t="shared" si="11"/>
        <v>2064177</v>
      </c>
      <c r="H34" s="41">
        <f t="shared" si="11"/>
        <v>2099365.66</v>
      </c>
      <c r="I34" s="41">
        <f t="shared" si="11"/>
        <v>2065725</v>
      </c>
      <c r="J34" s="41">
        <f t="shared" si="11"/>
        <v>2077594</v>
      </c>
      <c r="K34" s="41">
        <f t="shared" si="11"/>
        <v>2142230</v>
      </c>
      <c r="L34" s="41">
        <f t="shared" si="11"/>
        <v>2108108</v>
      </c>
      <c r="M34" s="41">
        <f t="shared" si="11"/>
        <v>2118146</v>
      </c>
      <c r="N34" s="41">
        <f t="shared" si="11"/>
        <v>1966813</v>
      </c>
      <c r="O34" s="41">
        <f t="shared" si="11"/>
        <v>1984745</v>
      </c>
      <c r="P34" s="41">
        <f t="shared" si="11"/>
        <v>1950024.1188252601</v>
      </c>
      <c r="Q34" s="41">
        <f t="shared" si="11"/>
        <v>1953999.447196628</v>
      </c>
      <c r="R34" s="41">
        <f t="shared" si="11"/>
        <v>1963027.6604036852</v>
      </c>
      <c r="S34" s="41">
        <f t="shared" si="11"/>
        <v>1972341.7955606701</v>
      </c>
      <c r="T34" s="41">
        <f t="shared" si="11"/>
        <v>1996148.0657413509</v>
      </c>
      <c r="U34" s="41">
        <f t="shared" si="11"/>
        <v>2128105.4945523506</v>
      </c>
      <c r="V34" s="41">
        <f t="shared" si="11"/>
        <v>2147588.0222515264</v>
      </c>
      <c r="W34" s="41">
        <f t="shared" si="11"/>
        <v>2167071.686387728</v>
      </c>
      <c r="X34" s="41">
        <f t="shared" si="11"/>
        <v>2186556.487037858</v>
      </c>
      <c r="Y34" s="41">
        <f t="shared" si="11"/>
        <v>2206042.4242682108</v>
      </c>
      <c r="Z34" s="41">
        <f t="shared" si="11"/>
        <v>2225529.4981450853</v>
      </c>
      <c r="AA34" s="41">
        <f t="shared" si="11"/>
        <v>2236083</v>
      </c>
      <c r="AB34" s="41">
        <f t="shared" si="11"/>
        <v>2236083</v>
      </c>
      <c r="AC34" s="41">
        <f t="shared" si="11"/>
        <v>2236083</v>
      </c>
      <c r="AD34" s="41">
        <f t="shared" si="11"/>
        <v>2236083</v>
      </c>
      <c r="AE34" s="41">
        <f t="shared" si="11"/>
        <v>2236083</v>
      </c>
      <c r="AF34" s="41">
        <f t="shared" si="11"/>
        <v>2236083</v>
      </c>
      <c r="AG34" s="41">
        <f t="shared" si="11"/>
        <v>2236083</v>
      </c>
      <c r="AH34" s="41">
        <f t="shared" si="11"/>
        <v>2236083</v>
      </c>
      <c r="AI34" s="41">
        <f t="shared" si="11"/>
        <v>2236083</v>
      </c>
      <c r="AJ34" s="41">
        <f t="shared" si="11"/>
        <v>2236083</v>
      </c>
      <c r="AK34" s="41">
        <f t="shared" si="11"/>
        <v>2236083</v>
      </c>
      <c r="AL34" s="41">
        <f t="shared" si="11"/>
        <v>2236083</v>
      </c>
      <c r="AM34" s="41">
        <f t="shared" si="11"/>
        <v>2236083</v>
      </c>
    </row>
    <row r="35" spans="1:39" x14ac:dyDescent="0.25">
      <c r="A35" s="20"/>
      <c r="C35" s="14"/>
      <c r="D35" s="14"/>
      <c r="E35" s="14"/>
      <c r="F35" s="14"/>
      <c r="G35" s="14"/>
      <c r="H35" s="14"/>
      <c r="I35" s="14"/>
      <c r="J35" s="14"/>
      <c r="K35" s="42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</row>
    <row r="36" spans="1:39" x14ac:dyDescent="0.25">
      <c r="A36" s="7"/>
      <c r="B36" s="7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spans="1:39" x14ac:dyDescent="0.25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</row>
    <row r="38" spans="1:39" x14ac:dyDescent="0.25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spans="1:39" x14ac:dyDescent="0.25">
      <c r="A39" s="7"/>
      <c r="B39" s="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x14ac:dyDescent="0.25">
      <c r="A40" s="7"/>
      <c r="B40" s="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x14ac:dyDescent="0.25">
      <c r="A41" s="7"/>
      <c r="B41" s="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x14ac:dyDescent="0.25">
      <c r="A42" s="7"/>
      <c r="B42" s="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x14ac:dyDescent="0.25">
      <c r="A43" s="7" t="s">
        <v>64</v>
      </c>
      <c r="B43" s="7" t="s">
        <v>65</v>
      </c>
      <c r="C43" s="14">
        <v>746296.5</v>
      </c>
      <c r="D43" s="14">
        <v>737412</v>
      </c>
      <c r="E43" s="14">
        <v>728526.5</v>
      </c>
      <c r="F43" s="14">
        <v>719642.5</v>
      </c>
      <c r="G43" s="14">
        <v>710758.5</v>
      </c>
      <c r="H43" s="14">
        <v>701873.5</v>
      </c>
      <c r="I43" s="14">
        <v>692989.5</v>
      </c>
      <c r="J43" s="14">
        <v>684105.5</v>
      </c>
      <c r="K43" s="14">
        <v>675221.5</v>
      </c>
      <c r="L43" s="14">
        <v>666337.5</v>
      </c>
      <c r="M43" s="14">
        <v>657453.5</v>
      </c>
      <c r="N43" s="14">
        <v>648569.5</v>
      </c>
      <c r="O43" s="14">
        <f>N43-O55</f>
        <v>639685.5</v>
      </c>
      <c r="P43" s="14">
        <f t="shared" ref="P43:AM43" si="12">O43-P55</f>
        <v>630801.5</v>
      </c>
      <c r="Q43" s="14">
        <f t="shared" si="12"/>
        <v>621917.5</v>
      </c>
      <c r="R43" s="14">
        <f t="shared" si="12"/>
        <v>613033.5</v>
      </c>
      <c r="S43" s="14">
        <f t="shared" si="12"/>
        <v>604149.5</v>
      </c>
      <c r="T43" s="14">
        <f t="shared" si="12"/>
        <v>595265.5</v>
      </c>
      <c r="U43" s="14">
        <f t="shared" si="12"/>
        <v>586381.5</v>
      </c>
      <c r="V43" s="14">
        <f t="shared" si="12"/>
        <v>577497.5</v>
      </c>
      <c r="W43" s="14">
        <f t="shared" si="12"/>
        <v>568613.5</v>
      </c>
      <c r="X43" s="14">
        <f t="shared" si="12"/>
        <v>559729.5</v>
      </c>
      <c r="Y43" s="14">
        <f t="shared" si="12"/>
        <v>550845.5</v>
      </c>
      <c r="Z43" s="14">
        <f t="shared" si="12"/>
        <v>541961.5</v>
      </c>
      <c r="AA43" s="14">
        <f t="shared" si="12"/>
        <v>533077.5</v>
      </c>
      <c r="AB43" s="14">
        <f t="shared" si="12"/>
        <v>524193.5</v>
      </c>
      <c r="AC43" s="14">
        <f t="shared" si="12"/>
        <v>515309.5</v>
      </c>
      <c r="AD43" s="14">
        <f t="shared" si="12"/>
        <v>506425.5</v>
      </c>
      <c r="AE43" s="14">
        <f t="shared" si="12"/>
        <v>497541.5</v>
      </c>
      <c r="AF43" s="14">
        <f t="shared" si="12"/>
        <v>488657.5</v>
      </c>
      <c r="AG43" s="14">
        <f t="shared" si="12"/>
        <v>479773.5</v>
      </c>
      <c r="AH43" s="14">
        <f t="shared" si="12"/>
        <v>470889.5</v>
      </c>
      <c r="AI43" s="14">
        <f t="shared" si="12"/>
        <v>462005.5</v>
      </c>
      <c r="AJ43" s="14">
        <f t="shared" si="12"/>
        <v>453121.5</v>
      </c>
      <c r="AK43" s="14">
        <f t="shared" si="12"/>
        <v>444237.5</v>
      </c>
      <c r="AL43" s="14">
        <f t="shared" si="12"/>
        <v>435353.5</v>
      </c>
      <c r="AM43" s="14">
        <f t="shared" si="12"/>
        <v>426469.5</v>
      </c>
    </row>
    <row r="44" spans="1:39" x14ac:dyDescent="0.25">
      <c r="A44" s="7" t="s">
        <v>66</v>
      </c>
      <c r="B44" s="7" t="s">
        <v>67</v>
      </c>
      <c r="C44" s="14">
        <v>-8930627.2499999981</v>
      </c>
      <c r="D44" s="14">
        <v>-8909064.6666666642</v>
      </c>
      <c r="E44" s="14">
        <v>-8887502.0833333302</v>
      </c>
      <c r="F44" s="14">
        <v>-8865939.7499999963</v>
      </c>
      <c r="G44" s="14">
        <v>-8844378.4166666623</v>
      </c>
      <c r="H44" s="14">
        <v>-8822815.0833333284</v>
      </c>
      <c r="I44" s="14">
        <v>-8801252.7499999944</v>
      </c>
      <c r="J44" s="14">
        <v>-8779691.4166666605</v>
      </c>
      <c r="K44" s="14">
        <v>-8758129.0833333265</v>
      </c>
      <c r="L44" s="14">
        <v>-8736566.7499999925</v>
      </c>
      <c r="M44" s="14">
        <v>-8715004.4166666586</v>
      </c>
      <c r="N44" s="14">
        <v>-8693443.0833333246</v>
      </c>
      <c r="O44" s="14">
        <f>N44-O56</f>
        <v>-8671880.7499999907</v>
      </c>
      <c r="P44" s="14">
        <f t="shared" ref="P44:AM44" si="13">O44-P56</f>
        <v>-8647450.9999999907</v>
      </c>
      <c r="Q44" s="14">
        <f t="shared" si="13"/>
        <v>-8625888.6666666567</v>
      </c>
      <c r="R44" s="14">
        <f t="shared" si="13"/>
        <v>-8604326.3333333228</v>
      </c>
      <c r="S44" s="14">
        <f t="shared" si="13"/>
        <v>-8582763.9999999888</v>
      </c>
      <c r="T44" s="14">
        <f t="shared" si="13"/>
        <v>-8561201.6666666549</v>
      </c>
      <c r="U44" s="14">
        <f t="shared" si="13"/>
        <v>-8539639.3333333209</v>
      </c>
      <c r="V44" s="14">
        <f t="shared" si="13"/>
        <v>-8518076.999999987</v>
      </c>
      <c r="W44" s="14">
        <f t="shared" si="13"/>
        <v>-8496514.666666653</v>
      </c>
      <c r="X44" s="14">
        <f t="shared" si="13"/>
        <v>-8474952.3333333191</v>
      </c>
      <c r="Y44" s="14">
        <f t="shared" si="13"/>
        <v>-8453389.9999999851</v>
      </c>
      <c r="Z44" s="14">
        <f t="shared" si="13"/>
        <v>-8431827.6666666511</v>
      </c>
      <c r="AA44" s="14">
        <f t="shared" si="13"/>
        <v>-8410265.3333333172</v>
      </c>
      <c r="AB44" s="14">
        <f t="shared" si="13"/>
        <v>-8388702.9999999832</v>
      </c>
      <c r="AC44" s="14">
        <f t="shared" si="13"/>
        <v>-8367140.6666666502</v>
      </c>
      <c r="AD44" s="14">
        <f t="shared" si="13"/>
        <v>-8345578.3333333172</v>
      </c>
      <c r="AE44" s="14">
        <f t="shared" si="13"/>
        <v>-8324015.9999999842</v>
      </c>
      <c r="AF44" s="14">
        <f t="shared" si="13"/>
        <v>-8302453.6666666511</v>
      </c>
      <c r="AG44" s="14">
        <f t="shared" si="13"/>
        <v>-8280891.3333333181</v>
      </c>
      <c r="AH44" s="14">
        <f t="shared" si="13"/>
        <v>-8259328.9999999851</v>
      </c>
      <c r="AI44" s="14">
        <f t="shared" si="13"/>
        <v>-8237766.6666666521</v>
      </c>
      <c r="AJ44" s="14">
        <f t="shared" si="13"/>
        <v>-8216204.3333333191</v>
      </c>
      <c r="AK44" s="14">
        <f t="shared" si="13"/>
        <v>-8194641.999999986</v>
      </c>
      <c r="AL44" s="14">
        <f t="shared" si="13"/>
        <v>-8173079.666666653</v>
      </c>
      <c r="AM44" s="14">
        <f t="shared" si="13"/>
        <v>-8151517.33333332</v>
      </c>
    </row>
    <row r="45" spans="1:39" x14ac:dyDescent="0.25">
      <c r="A45" s="27" t="s">
        <v>108</v>
      </c>
      <c r="C45" s="41">
        <f>SUM(C43:C44)</f>
        <v>-8184330.7499999981</v>
      </c>
      <c r="D45" s="41">
        <f t="shared" ref="D45:AM45" si="14">SUM(D43:D44)</f>
        <v>-8171652.6666666642</v>
      </c>
      <c r="E45" s="41">
        <f t="shared" si="14"/>
        <v>-8158975.5833333302</v>
      </c>
      <c r="F45" s="41">
        <f t="shared" si="14"/>
        <v>-8146297.2499999963</v>
      </c>
      <c r="G45" s="41">
        <f t="shared" si="14"/>
        <v>-8133619.9166666623</v>
      </c>
      <c r="H45" s="41">
        <f t="shared" si="14"/>
        <v>-8120941.5833333284</v>
      </c>
      <c r="I45" s="41">
        <f t="shared" si="14"/>
        <v>-8108263.2499999944</v>
      </c>
      <c r="J45" s="41">
        <f t="shared" si="14"/>
        <v>-8095585.9166666605</v>
      </c>
      <c r="K45" s="41">
        <f t="shared" si="14"/>
        <v>-8082907.5833333265</v>
      </c>
      <c r="L45" s="41">
        <f t="shared" si="14"/>
        <v>-8070229.2499999925</v>
      </c>
      <c r="M45" s="41">
        <f t="shared" si="14"/>
        <v>-8057550.9166666586</v>
      </c>
      <c r="N45" s="41">
        <f t="shared" si="14"/>
        <v>-8044873.5833333246</v>
      </c>
      <c r="O45" s="41">
        <f t="shared" si="14"/>
        <v>-8032195.2499999907</v>
      </c>
      <c r="P45" s="41">
        <f t="shared" si="14"/>
        <v>-8016649.4999999907</v>
      </c>
      <c r="Q45" s="41">
        <f t="shared" si="14"/>
        <v>-8003971.1666666567</v>
      </c>
      <c r="R45" s="41">
        <f t="shared" si="14"/>
        <v>-7991292.8333333228</v>
      </c>
      <c r="S45" s="41">
        <f t="shared" si="14"/>
        <v>-7978614.4999999888</v>
      </c>
      <c r="T45" s="41">
        <f t="shared" si="14"/>
        <v>-7965936.1666666549</v>
      </c>
      <c r="U45" s="41">
        <f t="shared" si="14"/>
        <v>-7953257.8333333209</v>
      </c>
      <c r="V45" s="41">
        <f t="shared" si="14"/>
        <v>-7940579.499999987</v>
      </c>
      <c r="W45" s="41">
        <f t="shared" si="14"/>
        <v>-7927901.166666653</v>
      </c>
      <c r="X45" s="41">
        <f t="shared" si="14"/>
        <v>-7915222.8333333191</v>
      </c>
      <c r="Y45" s="41">
        <f t="shared" si="14"/>
        <v>-7902544.4999999851</v>
      </c>
      <c r="Z45" s="41">
        <f t="shared" si="14"/>
        <v>-7889866.1666666511</v>
      </c>
      <c r="AA45" s="41">
        <f t="shared" si="14"/>
        <v>-7877187.8333333172</v>
      </c>
      <c r="AB45" s="41">
        <f t="shared" si="14"/>
        <v>-7864509.4999999832</v>
      </c>
      <c r="AC45" s="41">
        <f t="shared" si="14"/>
        <v>-7851831.1666666502</v>
      </c>
      <c r="AD45" s="41">
        <f t="shared" si="14"/>
        <v>-7839152.8333333172</v>
      </c>
      <c r="AE45" s="41">
        <f t="shared" si="14"/>
        <v>-7826474.4999999842</v>
      </c>
      <c r="AF45" s="41">
        <f t="shared" si="14"/>
        <v>-7813796.1666666511</v>
      </c>
      <c r="AG45" s="41">
        <f t="shared" si="14"/>
        <v>-7801117.8333333181</v>
      </c>
      <c r="AH45" s="41">
        <f t="shared" si="14"/>
        <v>-7788439.4999999851</v>
      </c>
      <c r="AI45" s="41">
        <f t="shared" si="14"/>
        <v>-7775761.1666666521</v>
      </c>
      <c r="AJ45" s="41">
        <f t="shared" si="14"/>
        <v>-7763082.8333333191</v>
      </c>
      <c r="AK45" s="41">
        <f t="shared" si="14"/>
        <v>-7750404.499999986</v>
      </c>
      <c r="AL45" s="41">
        <f t="shared" si="14"/>
        <v>-7737726.166666653</v>
      </c>
      <c r="AM45" s="41">
        <f t="shared" si="14"/>
        <v>-7725047.83333332</v>
      </c>
    </row>
    <row r="46" spans="1:39" x14ac:dyDescent="0.25">
      <c r="A46" s="15"/>
      <c r="B46" s="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</row>
    <row r="47" spans="1:39" x14ac:dyDescent="0.25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</row>
    <row r="48" spans="1:39" x14ac:dyDescent="0.25">
      <c r="A48" s="7" t="s">
        <v>8</v>
      </c>
      <c r="B48" s="7" t="s">
        <v>9</v>
      </c>
      <c r="C48" s="14">
        <v>-2420000</v>
      </c>
      <c r="D48" s="14">
        <v>-2420000</v>
      </c>
      <c r="E48" s="14">
        <v>-2420000</v>
      </c>
      <c r="F48" s="14">
        <v>-2420000</v>
      </c>
      <c r="G48" s="14">
        <v>-2420000</v>
      </c>
      <c r="H48" s="14">
        <v>-2420000</v>
      </c>
      <c r="I48" s="14">
        <v>-2420000</v>
      </c>
      <c r="J48" s="14">
        <v>-2420000</v>
      </c>
      <c r="K48" s="14">
        <v>-2420000</v>
      </c>
      <c r="L48" s="14">
        <v>-2420000</v>
      </c>
      <c r="M48" s="14">
        <v>-2420000</v>
      </c>
      <c r="N48" s="14">
        <v>-2420000</v>
      </c>
      <c r="O48" s="14">
        <f>N48</f>
        <v>-2420000</v>
      </c>
      <c r="P48" s="14">
        <f t="shared" ref="P48:AE48" si="15">O48</f>
        <v>-2420000</v>
      </c>
      <c r="Q48" s="14">
        <f t="shared" si="15"/>
        <v>-2420000</v>
      </c>
      <c r="R48" s="14">
        <f t="shared" si="15"/>
        <v>-2420000</v>
      </c>
      <c r="S48" s="14">
        <f t="shared" si="15"/>
        <v>-2420000</v>
      </c>
      <c r="T48" s="14">
        <f t="shared" si="15"/>
        <v>-2420000</v>
      </c>
      <c r="U48" s="14">
        <f t="shared" si="15"/>
        <v>-2420000</v>
      </c>
      <c r="V48" s="14">
        <f t="shared" si="15"/>
        <v>-2420000</v>
      </c>
      <c r="W48" s="14">
        <f t="shared" si="15"/>
        <v>-2420000</v>
      </c>
      <c r="X48" s="14">
        <f t="shared" si="15"/>
        <v>-2420000</v>
      </c>
      <c r="Y48" s="14">
        <f t="shared" si="15"/>
        <v>-2420000</v>
      </c>
      <c r="Z48" s="14">
        <f t="shared" si="15"/>
        <v>-2420000</v>
      </c>
      <c r="AA48" s="14">
        <f t="shared" si="15"/>
        <v>-2420000</v>
      </c>
      <c r="AB48" s="14">
        <f t="shared" si="15"/>
        <v>-2420000</v>
      </c>
      <c r="AC48" s="14">
        <f t="shared" si="15"/>
        <v>-2420000</v>
      </c>
      <c r="AD48" s="14">
        <f t="shared" si="15"/>
        <v>-2420000</v>
      </c>
      <c r="AE48" s="14">
        <f t="shared" si="15"/>
        <v>-2420000</v>
      </c>
      <c r="AF48" s="14">
        <f t="shared" ref="AF48:AM48" si="16">AE48</f>
        <v>-2420000</v>
      </c>
      <c r="AG48" s="14">
        <f t="shared" si="16"/>
        <v>-2420000</v>
      </c>
      <c r="AH48" s="14">
        <f t="shared" si="16"/>
        <v>-2420000</v>
      </c>
      <c r="AI48" s="14">
        <f t="shared" si="16"/>
        <v>-2420000</v>
      </c>
      <c r="AJ48" s="14">
        <f t="shared" si="16"/>
        <v>-2420000</v>
      </c>
      <c r="AK48" s="14">
        <f t="shared" si="16"/>
        <v>-2420000</v>
      </c>
      <c r="AL48" s="14">
        <f t="shared" si="16"/>
        <v>-2420000</v>
      </c>
      <c r="AM48" s="14">
        <f t="shared" si="16"/>
        <v>-2420000</v>
      </c>
    </row>
    <row r="49" spans="1:39" x14ac:dyDescent="0.25">
      <c r="A49" s="7"/>
      <c r="B49" s="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spans="1:39" x14ac:dyDescent="0.25">
      <c r="A50" s="7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</row>
    <row r="51" spans="1:39" x14ac:dyDescent="0.25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39" x14ac:dyDescent="0.25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</row>
    <row r="53" spans="1:39" x14ac:dyDescent="0.25">
      <c r="A53" s="16" t="s">
        <v>47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</row>
    <row r="54" spans="1:39" x14ac:dyDescent="0.25">
      <c r="A54" s="7" t="s">
        <v>27</v>
      </c>
      <c r="C54" s="14">
        <v>287.86</v>
      </c>
      <c r="D54" s="14">
        <v>288.86</v>
      </c>
      <c r="E54" s="14">
        <v>289.86</v>
      </c>
      <c r="F54" s="14">
        <v>290.86</v>
      </c>
      <c r="G54" s="14">
        <v>291.86</v>
      </c>
      <c r="H54" s="14">
        <v>292.86</v>
      </c>
      <c r="I54" s="14">
        <v>293.86</v>
      </c>
      <c r="J54" s="14">
        <v>294.86</v>
      </c>
      <c r="K54" s="14">
        <v>295.86</v>
      </c>
      <c r="L54" s="14">
        <v>296.86</v>
      </c>
      <c r="M54" s="14">
        <v>297.86</v>
      </c>
      <c r="N54" s="14">
        <v>298.86</v>
      </c>
      <c r="O54" s="14">
        <v>299.86</v>
      </c>
      <c r="P54" s="14">
        <v>300.86</v>
      </c>
      <c r="Q54" s="14">
        <v>301.86</v>
      </c>
      <c r="R54" s="14">
        <v>302.86</v>
      </c>
      <c r="S54" s="14">
        <v>303.86</v>
      </c>
      <c r="T54" s="14">
        <v>304.86</v>
      </c>
      <c r="U54" s="14">
        <v>305.86</v>
      </c>
      <c r="V54" s="14">
        <v>306.86</v>
      </c>
      <c r="W54" s="14">
        <v>307.86</v>
      </c>
      <c r="X54" s="14">
        <v>308.86</v>
      </c>
      <c r="Y54" s="14">
        <v>309.86</v>
      </c>
      <c r="Z54" s="14">
        <v>310.86</v>
      </c>
      <c r="AA54" s="14">
        <v>311.86</v>
      </c>
      <c r="AB54" s="14">
        <v>312.86</v>
      </c>
      <c r="AC54" s="14">
        <v>313.86</v>
      </c>
      <c r="AD54" s="14">
        <v>314.86</v>
      </c>
      <c r="AE54" s="14">
        <v>315.86</v>
      </c>
      <c r="AF54" s="14">
        <v>316.86</v>
      </c>
      <c r="AG54" s="14">
        <v>317.86</v>
      </c>
      <c r="AH54" s="14">
        <v>318.86</v>
      </c>
      <c r="AI54" s="14">
        <v>319.86</v>
      </c>
      <c r="AJ54" s="14">
        <v>320.86</v>
      </c>
      <c r="AK54" s="14">
        <v>321.86</v>
      </c>
      <c r="AL54" s="14">
        <v>322.86</v>
      </c>
      <c r="AM54" s="14">
        <v>323.86</v>
      </c>
    </row>
    <row r="55" spans="1:39" x14ac:dyDescent="0.25">
      <c r="A55" s="7" t="s">
        <v>72</v>
      </c>
      <c r="B55" s="16"/>
      <c r="C55" s="14">
        <v>9747.5</v>
      </c>
      <c r="D55" s="14">
        <v>9747.5</v>
      </c>
      <c r="E55" s="14">
        <v>9747.5</v>
      </c>
      <c r="F55" s="14">
        <v>8884</v>
      </c>
      <c r="G55" s="14">
        <v>8884</v>
      </c>
      <c r="H55" s="14">
        <v>8884</v>
      </c>
      <c r="I55" s="14">
        <v>8884</v>
      </c>
      <c r="J55" s="14">
        <v>8884</v>
      </c>
      <c r="K55" s="14">
        <v>8884</v>
      </c>
      <c r="L55" s="14">
        <v>8884</v>
      </c>
      <c r="M55" s="14">
        <v>8884</v>
      </c>
      <c r="N55" s="14">
        <v>8884</v>
      </c>
      <c r="O55" s="14">
        <f t="shared" ref="O55:AM55" si="17">106608/12</f>
        <v>8884</v>
      </c>
      <c r="P55" s="14">
        <f t="shared" si="17"/>
        <v>8884</v>
      </c>
      <c r="Q55" s="14">
        <f t="shared" si="17"/>
        <v>8884</v>
      </c>
      <c r="R55" s="14">
        <f t="shared" si="17"/>
        <v>8884</v>
      </c>
      <c r="S55" s="14">
        <f t="shared" si="17"/>
        <v>8884</v>
      </c>
      <c r="T55" s="14">
        <f t="shared" si="17"/>
        <v>8884</v>
      </c>
      <c r="U55" s="14">
        <f t="shared" si="17"/>
        <v>8884</v>
      </c>
      <c r="V55" s="14">
        <f t="shared" si="17"/>
        <v>8884</v>
      </c>
      <c r="W55" s="14">
        <f t="shared" si="17"/>
        <v>8884</v>
      </c>
      <c r="X55" s="14">
        <f t="shared" si="17"/>
        <v>8884</v>
      </c>
      <c r="Y55" s="14">
        <f t="shared" si="17"/>
        <v>8884</v>
      </c>
      <c r="Z55" s="14">
        <f t="shared" si="17"/>
        <v>8884</v>
      </c>
      <c r="AA55" s="14">
        <f t="shared" si="17"/>
        <v>8884</v>
      </c>
      <c r="AB55" s="14">
        <f t="shared" si="17"/>
        <v>8884</v>
      </c>
      <c r="AC55" s="14">
        <f t="shared" si="17"/>
        <v>8884</v>
      </c>
      <c r="AD55" s="14">
        <f t="shared" si="17"/>
        <v>8884</v>
      </c>
      <c r="AE55" s="14">
        <f t="shared" si="17"/>
        <v>8884</v>
      </c>
      <c r="AF55" s="14">
        <f t="shared" si="17"/>
        <v>8884</v>
      </c>
      <c r="AG55" s="14">
        <f t="shared" si="17"/>
        <v>8884</v>
      </c>
      <c r="AH55" s="14">
        <f t="shared" si="17"/>
        <v>8884</v>
      </c>
      <c r="AI55" s="14">
        <f t="shared" si="17"/>
        <v>8884</v>
      </c>
      <c r="AJ55" s="14">
        <f t="shared" si="17"/>
        <v>8884</v>
      </c>
      <c r="AK55" s="14">
        <f t="shared" si="17"/>
        <v>8884</v>
      </c>
      <c r="AL55" s="14">
        <f t="shared" si="17"/>
        <v>8884</v>
      </c>
      <c r="AM55" s="14">
        <f t="shared" si="17"/>
        <v>8884</v>
      </c>
    </row>
    <row r="56" spans="1:39" x14ac:dyDescent="0.25">
      <c r="A56" s="7" t="s">
        <v>70</v>
      </c>
      <c r="B56" s="16"/>
      <c r="C56" s="14">
        <v>-18687.583333333332</v>
      </c>
      <c r="D56" s="14">
        <v>-18687.583333333332</v>
      </c>
      <c r="E56" s="14">
        <v>-18687.583333333332</v>
      </c>
      <c r="F56" s="14">
        <v>-21562.333333333332</v>
      </c>
      <c r="G56" s="14">
        <v>-21562.333333333332</v>
      </c>
      <c r="H56" s="14">
        <v>-21562.333333333332</v>
      </c>
      <c r="I56" s="14">
        <v>-21562.333333333332</v>
      </c>
      <c r="J56" s="14">
        <v>-21562.333333333332</v>
      </c>
      <c r="K56" s="14">
        <v>-21562.333333333332</v>
      </c>
      <c r="L56" s="14">
        <v>-21562.333333333332</v>
      </c>
      <c r="M56" s="14">
        <v>-21562.333333333332</v>
      </c>
      <c r="N56" s="14">
        <v>-21562.333333333332</v>
      </c>
      <c r="O56" s="14">
        <f t="shared" ref="O56:AM56" si="18">-258748/12</f>
        <v>-21562.333333333332</v>
      </c>
      <c r="P56" s="14">
        <f>-293157/12</f>
        <v>-24429.75</v>
      </c>
      <c r="Q56" s="14">
        <f t="shared" si="18"/>
        <v>-21562.333333333332</v>
      </c>
      <c r="R56" s="14">
        <f t="shared" si="18"/>
        <v>-21562.333333333332</v>
      </c>
      <c r="S56" s="14">
        <f t="shared" si="18"/>
        <v>-21562.333333333332</v>
      </c>
      <c r="T56" s="14">
        <f t="shared" si="18"/>
        <v>-21562.333333333332</v>
      </c>
      <c r="U56" s="14">
        <f t="shared" si="18"/>
        <v>-21562.333333333332</v>
      </c>
      <c r="V56" s="14">
        <f t="shared" si="18"/>
        <v>-21562.333333333332</v>
      </c>
      <c r="W56" s="14">
        <f t="shared" si="18"/>
        <v>-21562.333333333332</v>
      </c>
      <c r="X56" s="14">
        <f t="shared" si="18"/>
        <v>-21562.333333333332</v>
      </c>
      <c r="Y56" s="14">
        <f t="shared" si="18"/>
        <v>-21562.333333333332</v>
      </c>
      <c r="Z56" s="14">
        <f t="shared" si="18"/>
        <v>-21562.333333333332</v>
      </c>
      <c r="AA56" s="14">
        <f t="shared" si="18"/>
        <v>-21562.333333333332</v>
      </c>
      <c r="AB56" s="14">
        <f t="shared" si="18"/>
        <v>-21562.333333333332</v>
      </c>
      <c r="AC56" s="14">
        <f t="shared" si="18"/>
        <v>-21562.333333333332</v>
      </c>
      <c r="AD56" s="14">
        <f t="shared" si="18"/>
        <v>-21562.333333333332</v>
      </c>
      <c r="AE56" s="14">
        <f t="shared" si="18"/>
        <v>-21562.333333333332</v>
      </c>
      <c r="AF56" s="14">
        <f t="shared" si="18"/>
        <v>-21562.333333333332</v>
      </c>
      <c r="AG56" s="14">
        <f t="shared" si="18"/>
        <v>-21562.333333333332</v>
      </c>
      <c r="AH56" s="14">
        <f t="shared" si="18"/>
        <v>-21562.333333333332</v>
      </c>
      <c r="AI56" s="14">
        <f t="shared" si="18"/>
        <v>-21562.333333333332</v>
      </c>
      <c r="AJ56" s="14">
        <f t="shared" si="18"/>
        <v>-21562.333333333332</v>
      </c>
      <c r="AK56" s="14">
        <f t="shared" si="18"/>
        <v>-21562.333333333332</v>
      </c>
      <c r="AL56" s="14">
        <f t="shared" si="18"/>
        <v>-21562.333333333332</v>
      </c>
      <c r="AM56" s="14">
        <f t="shared" si="18"/>
        <v>-21562.333333333332</v>
      </c>
    </row>
    <row r="57" spans="1:39" x14ac:dyDescent="0.25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39" x14ac:dyDescent="0.2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spans="1:39" x14ac:dyDescent="0.25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spans="1:39" x14ac:dyDescent="0.25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>
        <v>44561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>
        <f>+SUM(Q61:AA61)-AA62</f>
        <v>0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x14ac:dyDescent="0.25">
      <c r="C61" s="14"/>
      <c r="D61" s="14"/>
      <c r="E61" s="14"/>
      <c r="F61" s="14"/>
      <c r="G61" s="14"/>
      <c r="H61" s="14"/>
      <c r="I61" s="14"/>
      <c r="J61" s="14"/>
      <c r="K61" s="14" t="s">
        <v>82</v>
      </c>
      <c r="L61" s="14"/>
      <c r="M61" s="14"/>
      <c r="N61" s="14"/>
      <c r="O61" s="14" t="s">
        <v>88</v>
      </c>
      <c r="P61" s="14"/>
      <c r="Q61" s="14">
        <v>86250</v>
      </c>
      <c r="R61" s="14">
        <f>86250*2</f>
        <v>172500</v>
      </c>
      <c r="S61" s="14">
        <f>86250*2</f>
        <v>172500</v>
      </c>
      <c r="T61" s="14">
        <f>86250*3</f>
        <v>258750</v>
      </c>
      <c r="U61" s="14">
        <f>86250*2</f>
        <v>172500</v>
      </c>
      <c r="V61" s="14">
        <v>56253</v>
      </c>
      <c r="W61" s="14">
        <v>20000</v>
      </c>
      <c r="X61" s="14">
        <v>10000</v>
      </c>
      <c r="Y61" s="14">
        <v>0</v>
      </c>
      <c r="Z61" s="14">
        <v>0</v>
      </c>
      <c r="AA61" s="14">
        <v>0</v>
      </c>
      <c r="AB61" s="14">
        <f>-ROUND($AA$62/60,0)</f>
        <v>-15813</v>
      </c>
      <c r="AC61" s="14">
        <f t="shared" ref="AC61:AM61" si="19">-ROUND($AA$62/60,0)</f>
        <v>-15813</v>
      </c>
      <c r="AD61" s="14">
        <f t="shared" si="19"/>
        <v>-15813</v>
      </c>
      <c r="AE61" s="14">
        <f t="shared" si="19"/>
        <v>-15813</v>
      </c>
      <c r="AF61" s="14">
        <f t="shared" si="19"/>
        <v>-15813</v>
      </c>
      <c r="AG61" s="14">
        <f t="shared" si="19"/>
        <v>-15813</v>
      </c>
      <c r="AH61" s="14">
        <f t="shared" si="19"/>
        <v>-15813</v>
      </c>
      <c r="AI61" s="14">
        <f t="shared" si="19"/>
        <v>-15813</v>
      </c>
      <c r="AJ61" s="14">
        <f t="shared" si="19"/>
        <v>-15813</v>
      </c>
      <c r="AK61" s="14">
        <f t="shared" si="19"/>
        <v>-15813</v>
      </c>
      <c r="AL61" s="14">
        <f t="shared" si="19"/>
        <v>-15813</v>
      </c>
      <c r="AM61" s="14">
        <f t="shared" si="19"/>
        <v>-15813</v>
      </c>
    </row>
    <row r="62" spans="1:39" x14ac:dyDescent="0.25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 t="s">
        <v>87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>
        <v>948753</v>
      </c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x14ac:dyDescent="0.25">
      <c r="C63" s="14"/>
      <c r="D63" s="14"/>
      <c r="E63" s="14"/>
      <c r="F63" s="14"/>
      <c r="G63" s="14"/>
      <c r="H63" s="14"/>
      <c r="I63" s="14"/>
      <c r="J63" s="14"/>
      <c r="K63" s="14" t="s">
        <v>81</v>
      </c>
      <c r="L63" s="14"/>
      <c r="M63" s="14"/>
      <c r="N63" s="14"/>
      <c r="O63" s="14">
        <f>O12+O13+O14</f>
        <v>362505.60999999987</v>
      </c>
      <c r="P63" s="14">
        <f t="shared" ref="P63:AM63" si="20">P12</f>
        <v>299294.29471803561</v>
      </c>
      <c r="Q63" s="14">
        <f t="shared" si="20"/>
        <v>293555.17899865465</v>
      </c>
      <c r="R63" s="14">
        <f t="shared" si="20"/>
        <v>287399.13797140628</v>
      </c>
      <c r="S63" s="14">
        <f t="shared" si="20"/>
        <v>280825.17163629044</v>
      </c>
      <c r="T63" s="14">
        <f t="shared" si="20"/>
        <v>273834.27999330714</v>
      </c>
      <c r="U63" s="14">
        <f t="shared" si="20"/>
        <v>266426.46304245642</v>
      </c>
      <c r="V63" s="14">
        <f t="shared" si="20"/>
        <v>258600.7207837383</v>
      </c>
      <c r="W63" s="14">
        <f t="shared" si="20"/>
        <v>250358.05321715272</v>
      </c>
      <c r="X63" s="14">
        <f t="shared" si="20"/>
        <v>241697.46034269972</v>
      </c>
      <c r="Y63" s="14">
        <f t="shared" si="20"/>
        <v>232619.94216037932</v>
      </c>
      <c r="Z63" s="14">
        <f t="shared" si="20"/>
        <v>223124.49867019145</v>
      </c>
      <c r="AA63" s="14">
        <f t="shared" si="20"/>
        <v>213212.12987213611</v>
      </c>
      <c r="AB63" s="14">
        <f t="shared" si="20"/>
        <v>195444.45238279144</v>
      </c>
      <c r="AC63" s="14">
        <f t="shared" si="20"/>
        <v>177676.77489344677</v>
      </c>
      <c r="AD63" s="14">
        <f t="shared" si="20"/>
        <v>159909.0974041021</v>
      </c>
      <c r="AE63" s="14">
        <f t="shared" si="20"/>
        <v>142141.41991475743</v>
      </c>
      <c r="AF63" s="14">
        <f t="shared" si="20"/>
        <v>124373.74242541275</v>
      </c>
      <c r="AG63" s="14">
        <f t="shared" si="20"/>
        <v>106606.06493606808</v>
      </c>
      <c r="AH63" s="14">
        <f t="shared" si="20"/>
        <v>88838.387446723413</v>
      </c>
      <c r="AI63" s="14">
        <f t="shared" si="20"/>
        <v>71070.709957378742</v>
      </c>
      <c r="AJ63" s="14">
        <f t="shared" si="20"/>
        <v>53303.032468034071</v>
      </c>
      <c r="AK63" s="14">
        <f t="shared" si="20"/>
        <v>35535.3549786894</v>
      </c>
      <c r="AL63" s="14">
        <f t="shared" si="20"/>
        <v>17767.677489344725</v>
      </c>
      <c r="AM63" s="14">
        <f t="shared" si="20"/>
        <v>0</v>
      </c>
    </row>
    <row r="64" spans="1:39" x14ac:dyDescent="0.25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x14ac:dyDescent="0.25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x14ac:dyDescent="0.25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>
        <f>+SUM(O63:O65)</f>
        <v>362505.60999999987</v>
      </c>
      <c r="P66" s="14">
        <f t="shared" ref="P66:AM66" si="21">+SUM(P63:P65)</f>
        <v>299294.29471803561</v>
      </c>
      <c r="Q66" s="14">
        <f t="shared" si="21"/>
        <v>293555.17899865465</v>
      </c>
      <c r="R66" s="14">
        <f t="shared" si="21"/>
        <v>287399.13797140628</v>
      </c>
      <c r="S66" s="14">
        <f t="shared" si="21"/>
        <v>280825.17163629044</v>
      </c>
      <c r="T66" s="14">
        <f t="shared" si="21"/>
        <v>273834.27999330714</v>
      </c>
      <c r="U66" s="14">
        <f t="shared" si="21"/>
        <v>266426.46304245642</v>
      </c>
      <c r="V66" s="14">
        <f t="shared" si="21"/>
        <v>258600.7207837383</v>
      </c>
      <c r="W66" s="14">
        <f t="shared" si="21"/>
        <v>250358.05321715272</v>
      </c>
      <c r="X66" s="14">
        <f t="shared" si="21"/>
        <v>241697.46034269972</v>
      </c>
      <c r="Y66" s="14">
        <f t="shared" si="21"/>
        <v>232619.94216037932</v>
      </c>
      <c r="Z66" s="14">
        <f t="shared" si="21"/>
        <v>223124.49867019145</v>
      </c>
      <c r="AA66" s="14">
        <f t="shared" si="21"/>
        <v>213212.12987213611</v>
      </c>
      <c r="AB66" s="14">
        <f t="shared" si="21"/>
        <v>195444.45238279144</v>
      </c>
      <c r="AC66" s="14">
        <f t="shared" si="21"/>
        <v>177676.77489344677</v>
      </c>
      <c r="AD66" s="14">
        <f t="shared" si="21"/>
        <v>159909.0974041021</v>
      </c>
      <c r="AE66" s="14">
        <f t="shared" si="21"/>
        <v>142141.41991475743</v>
      </c>
      <c r="AF66" s="14">
        <f t="shared" si="21"/>
        <v>124373.74242541275</v>
      </c>
      <c r="AG66" s="14">
        <f t="shared" si="21"/>
        <v>106606.06493606808</v>
      </c>
      <c r="AH66" s="14">
        <f t="shared" si="21"/>
        <v>88838.387446723413</v>
      </c>
      <c r="AI66" s="14">
        <f t="shared" si="21"/>
        <v>71070.709957378742</v>
      </c>
      <c r="AJ66" s="14">
        <f t="shared" si="21"/>
        <v>53303.032468034071</v>
      </c>
      <c r="AK66" s="14">
        <f t="shared" si="21"/>
        <v>35535.3549786894</v>
      </c>
      <c r="AL66" s="14">
        <f t="shared" si="21"/>
        <v>17767.677489344725</v>
      </c>
      <c r="AM66" s="14">
        <f t="shared" si="21"/>
        <v>0</v>
      </c>
    </row>
    <row r="67" spans="1:39" x14ac:dyDescent="0.25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x14ac:dyDescent="0.25">
      <c r="A68" s="20"/>
      <c r="C68" s="14"/>
      <c r="D68" s="14"/>
      <c r="E68" s="14"/>
      <c r="F68" s="14"/>
      <c r="G68" s="14"/>
      <c r="H68" s="14"/>
      <c r="I68" s="14"/>
      <c r="J68" s="14"/>
      <c r="K68" s="42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x14ac:dyDescent="0.25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x14ac:dyDescent="0.25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spans="1:39" x14ac:dyDescent="0.25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spans="1:39" x14ac:dyDescent="0.25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1:39" x14ac:dyDescent="0.25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1:39" x14ac:dyDescent="0.25">
      <c r="AA74" s="19"/>
    </row>
  </sheetData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40"/>
  <sheetViews>
    <sheetView zoomScale="85" zoomScaleNormal="85" workbookViewId="0">
      <pane xSplit="2" ySplit="3" topLeftCell="Y4" activePane="bottomRight" state="frozen"/>
      <selection pane="topRight" activeCell="C1" sqref="C1"/>
      <selection pane="bottomLeft" activeCell="A3" sqref="A3"/>
      <selection pane="bottomRight" activeCell="AA13" sqref="AA13"/>
    </sheetView>
  </sheetViews>
  <sheetFormatPr defaultColWidth="9.140625" defaultRowHeight="15" x14ac:dyDescent="0.25"/>
  <cols>
    <col min="1" max="1" width="64" style="5" bestFit="1" customWidth="1"/>
    <col min="2" max="2" width="11.140625" style="5" customWidth="1"/>
    <col min="3" max="39" width="13.85546875" style="5" customWidth="1"/>
    <col min="40" max="40" width="49.7109375" style="5" bestFit="1" customWidth="1"/>
    <col min="41" max="16384" width="9.140625" style="5"/>
  </cols>
  <sheetData>
    <row r="1" spans="1:39" x14ac:dyDescent="0.25">
      <c r="C1" s="4" t="s">
        <v>56</v>
      </c>
      <c r="D1" s="4" t="s">
        <v>56</v>
      </c>
      <c r="E1" s="4" t="s">
        <v>56</v>
      </c>
      <c r="F1" s="4" t="s">
        <v>56</v>
      </c>
      <c r="G1" s="4" t="s">
        <v>56</v>
      </c>
      <c r="H1" s="4" t="s">
        <v>56</v>
      </c>
      <c r="I1" s="4" t="s">
        <v>56</v>
      </c>
      <c r="J1" s="4" t="s">
        <v>56</v>
      </c>
      <c r="K1" s="4" t="s">
        <v>56</v>
      </c>
      <c r="L1" s="4" t="s">
        <v>56</v>
      </c>
      <c r="M1" s="4" t="s">
        <v>56</v>
      </c>
      <c r="N1" s="4" t="s">
        <v>56</v>
      </c>
      <c r="O1" s="4" t="s">
        <v>56</v>
      </c>
    </row>
    <row r="2" spans="1:39" x14ac:dyDescent="0.25">
      <c r="A2" s="5" t="s">
        <v>54</v>
      </c>
      <c r="C2" s="28" t="s">
        <v>17</v>
      </c>
      <c r="D2" s="28" t="s">
        <v>18</v>
      </c>
      <c r="E2" s="28" t="s">
        <v>19</v>
      </c>
      <c r="F2" s="28" t="s">
        <v>20</v>
      </c>
      <c r="G2" s="28" t="s">
        <v>21</v>
      </c>
      <c r="H2" s="28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28" t="s">
        <v>16</v>
      </c>
      <c r="O2" s="28" t="s">
        <v>17</v>
      </c>
      <c r="P2" s="28" t="s">
        <v>18</v>
      </c>
      <c r="Q2" s="28" t="s">
        <v>19</v>
      </c>
      <c r="R2" s="28" t="s">
        <v>20</v>
      </c>
      <c r="S2" s="28" t="s">
        <v>21</v>
      </c>
      <c r="T2" s="28" t="s">
        <v>10</v>
      </c>
      <c r="U2" s="28" t="s">
        <v>11</v>
      </c>
      <c r="V2" s="28" t="s">
        <v>12</v>
      </c>
      <c r="W2" s="28" t="s">
        <v>13</v>
      </c>
      <c r="X2" s="28" t="s">
        <v>14</v>
      </c>
      <c r="Y2" s="28" t="s">
        <v>15</v>
      </c>
      <c r="Z2" s="28" t="s">
        <v>16</v>
      </c>
      <c r="AA2" s="28" t="s">
        <v>17</v>
      </c>
      <c r="AB2" s="28" t="s">
        <v>18</v>
      </c>
      <c r="AC2" s="28" t="s">
        <v>19</v>
      </c>
      <c r="AD2" s="28" t="s">
        <v>20</v>
      </c>
      <c r="AE2" s="28" t="s">
        <v>21</v>
      </c>
      <c r="AF2" s="28" t="s">
        <v>10</v>
      </c>
      <c r="AG2" s="28" t="s">
        <v>11</v>
      </c>
      <c r="AH2" s="28" t="s">
        <v>12</v>
      </c>
      <c r="AI2" s="28" t="s">
        <v>13</v>
      </c>
      <c r="AJ2" s="28" t="s">
        <v>14</v>
      </c>
      <c r="AK2" s="28" t="s">
        <v>15</v>
      </c>
      <c r="AL2" s="28" t="s">
        <v>16</v>
      </c>
      <c r="AM2" s="28" t="s">
        <v>17</v>
      </c>
    </row>
    <row r="3" spans="1:39" x14ac:dyDescent="0.25">
      <c r="C3" s="4">
        <v>2020</v>
      </c>
      <c r="D3" s="4">
        <v>2021</v>
      </c>
      <c r="E3" s="4">
        <v>2021</v>
      </c>
      <c r="F3" s="4">
        <v>2021</v>
      </c>
      <c r="G3" s="4">
        <v>2021</v>
      </c>
      <c r="H3" s="4">
        <v>2021</v>
      </c>
      <c r="I3" s="4">
        <v>2021</v>
      </c>
      <c r="J3" s="4">
        <v>2021</v>
      </c>
      <c r="K3" s="4">
        <v>2021</v>
      </c>
      <c r="L3" s="4">
        <v>2021</v>
      </c>
      <c r="M3" s="4">
        <v>2021</v>
      </c>
      <c r="N3" s="4">
        <v>2021</v>
      </c>
      <c r="O3" s="4">
        <v>2021</v>
      </c>
      <c r="P3" s="4">
        <v>2022</v>
      </c>
      <c r="Q3" s="4">
        <v>2022</v>
      </c>
      <c r="R3" s="4">
        <v>2022</v>
      </c>
      <c r="S3" s="4">
        <v>2022</v>
      </c>
      <c r="T3" s="4">
        <v>2022</v>
      </c>
      <c r="U3" s="4">
        <v>2022</v>
      </c>
      <c r="V3" s="4">
        <v>2022</v>
      </c>
      <c r="W3" s="4">
        <v>2022</v>
      </c>
      <c r="X3" s="4">
        <v>2022</v>
      </c>
      <c r="Y3" s="4">
        <v>2022</v>
      </c>
      <c r="Z3" s="4">
        <v>2022</v>
      </c>
      <c r="AA3" s="4">
        <v>2022</v>
      </c>
      <c r="AB3" s="4">
        <v>2023</v>
      </c>
      <c r="AC3" s="4">
        <v>2023</v>
      </c>
      <c r="AD3" s="4">
        <v>2023</v>
      </c>
      <c r="AE3" s="4">
        <v>2023</v>
      </c>
      <c r="AF3" s="4">
        <v>2023</v>
      </c>
      <c r="AG3" s="4">
        <v>2023</v>
      </c>
      <c r="AH3" s="4">
        <v>2023</v>
      </c>
      <c r="AI3" s="4">
        <v>2023</v>
      </c>
      <c r="AJ3" s="4">
        <v>2023</v>
      </c>
      <c r="AK3" s="4">
        <v>2023</v>
      </c>
      <c r="AL3" s="4">
        <v>2023</v>
      </c>
      <c r="AM3" s="4">
        <v>2023</v>
      </c>
    </row>
    <row r="5" spans="1:39" x14ac:dyDescent="0.25">
      <c r="A5" s="29" t="s">
        <v>0</v>
      </c>
      <c r="B5" s="16" t="s">
        <v>107</v>
      </c>
    </row>
    <row r="6" spans="1:39" x14ac:dyDescent="0.25">
      <c r="A6" s="3" t="s">
        <v>76</v>
      </c>
      <c r="B6" s="3" t="s">
        <v>77</v>
      </c>
      <c r="C6" s="8">
        <v>1534</v>
      </c>
      <c r="D6" s="8">
        <v>1534</v>
      </c>
      <c r="E6" s="8">
        <v>1534</v>
      </c>
      <c r="F6" s="8">
        <v>187</v>
      </c>
      <c r="G6" s="8">
        <v>187</v>
      </c>
      <c r="H6" s="8">
        <v>187</v>
      </c>
      <c r="I6" s="8">
        <v>187</v>
      </c>
      <c r="J6" s="8">
        <v>550</v>
      </c>
      <c r="K6" s="8">
        <v>550</v>
      </c>
      <c r="L6" s="8">
        <v>550</v>
      </c>
      <c r="M6" s="8">
        <v>550</v>
      </c>
      <c r="N6" s="8">
        <v>550</v>
      </c>
      <c r="O6" s="8">
        <v>550</v>
      </c>
      <c r="P6" s="8">
        <v>527.08000000000004</v>
      </c>
      <c r="Q6" s="8">
        <v>504.16</v>
      </c>
      <c r="R6" s="8">
        <v>481.24</v>
      </c>
      <c r="S6" s="8">
        <v>458.32</v>
      </c>
      <c r="T6" s="8">
        <v>435.4</v>
      </c>
      <c r="U6" s="8">
        <v>412.47999999999996</v>
      </c>
      <c r="V6" s="8">
        <v>389.55999999999995</v>
      </c>
      <c r="W6" s="8">
        <v>366.63999999999993</v>
      </c>
      <c r="X6" s="8">
        <v>343.71999999999991</v>
      </c>
      <c r="Y6" s="8">
        <v>320.7999999999999</v>
      </c>
      <c r="Z6" s="8">
        <v>297.87999999999988</v>
      </c>
      <c r="AA6" s="8">
        <v>274.95999999999987</v>
      </c>
      <c r="AB6" s="8">
        <v>252.03999999999985</v>
      </c>
      <c r="AC6" s="8">
        <v>229.11999999999983</v>
      </c>
      <c r="AD6" s="8">
        <v>206.19999999999982</v>
      </c>
      <c r="AE6" s="8">
        <v>183.2799999999998</v>
      </c>
      <c r="AF6" s="8">
        <v>160.35999999999979</v>
      </c>
      <c r="AG6" s="8">
        <v>137.43999999999977</v>
      </c>
      <c r="AH6" s="8">
        <v>114.51999999999977</v>
      </c>
      <c r="AI6" s="8">
        <v>91.599999999999767</v>
      </c>
      <c r="AJ6" s="8">
        <v>68.679999999999765</v>
      </c>
      <c r="AK6" s="8">
        <v>45.759999999999764</v>
      </c>
      <c r="AL6" s="8">
        <v>22.839999999999762</v>
      </c>
      <c r="AM6" s="8">
        <v>-2.3803181647963356E-13</v>
      </c>
    </row>
    <row r="7" spans="1:39" x14ac:dyDescent="0.25">
      <c r="A7" s="29"/>
      <c r="B7" s="16"/>
    </row>
    <row r="8" spans="1:39" x14ac:dyDescent="0.25">
      <c r="A8" s="29"/>
      <c r="B8" s="16"/>
    </row>
    <row r="9" spans="1:39" x14ac:dyDescent="0.25">
      <c r="A9" s="1" t="s">
        <v>1</v>
      </c>
      <c r="B9" s="1" t="s">
        <v>2</v>
      </c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39" x14ac:dyDescent="0.25">
      <c r="A10" s="1" t="s">
        <v>59</v>
      </c>
      <c r="B10" s="1">
        <v>17991860</v>
      </c>
      <c r="C10" s="32">
        <v>35140</v>
      </c>
      <c r="D10" s="32">
        <f t="shared" ref="D10:AE10" si="0">C10</f>
        <v>35140</v>
      </c>
      <c r="E10" s="32">
        <f t="shared" si="0"/>
        <v>35140</v>
      </c>
      <c r="F10" s="32">
        <f t="shared" si="0"/>
        <v>35140</v>
      </c>
      <c r="G10" s="32">
        <f t="shared" si="0"/>
        <v>35140</v>
      </c>
      <c r="H10" s="32">
        <f t="shared" si="0"/>
        <v>35140</v>
      </c>
      <c r="I10" s="32">
        <f t="shared" si="0"/>
        <v>35140</v>
      </c>
      <c r="J10" s="32">
        <f t="shared" si="0"/>
        <v>35140</v>
      </c>
      <c r="K10" s="32">
        <f t="shared" si="0"/>
        <v>35140</v>
      </c>
      <c r="L10" s="32">
        <f t="shared" si="0"/>
        <v>35140</v>
      </c>
      <c r="M10" s="32">
        <f t="shared" si="0"/>
        <v>35140</v>
      </c>
      <c r="N10" s="32">
        <f t="shared" si="0"/>
        <v>35140</v>
      </c>
      <c r="O10" s="32">
        <f t="shared" si="0"/>
        <v>35140</v>
      </c>
      <c r="P10" s="32">
        <f t="shared" si="0"/>
        <v>35140</v>
      </c>
      <c r="Q10" s="32">
        <f t="shared" si="0"/>
        <v>35140</v>
      </c>
      <c r="R10" s="32">
        <f t="shared" si="0"/>
        <v>35140</v>
      </c>
      <c r="S10" s="32">
        <f t="shared" si="0"/>
        <v>35140</v>
      </c>
      <c r="T10" s="32">
        <f t="shared" si="0"/>
        <v>35140</v>
      </c>
      <c r="U10" s="32">
        <f t="shared" si="0"/>
        <v>35140</v>
      </c>
      <c r="V10" s="32">
        <f t="shared" si="0"/>
        <v>35140</v>
      </c>
      <c r="W10" s="32">
        <f t="shared" si="0"/>
        <v>35140</v>
      </c>
      <c r="X10" s="32">
        <f t="shared" si="0"/>
        <v>35140</v>
      </c>
      <c r="Y10" s="32">
        <f t="shared" si="0"/>
        <v>35140</v>
      </c>
      <c r="Z10" s="32">
        <f t="shared" si="0"/>
        <v>35140</v>
      </c>
      <c r="AA10" s="32">
        <f t="shared" si="0"/>
        <v>35140</v>
      </c>
      <c r="AB10" s="32">
        <f t="shared" si="0"/>
        <v>35140</v>
      </c>
      <c r="AC10" s="32">
        <f t="shared" si="0"/>
        <v>35140</v>
      </c>
      <c r="AD10" s="32">
        <f t="shared" si="0"/>
        <v>35140</v>
      </c>
      <c r="AE10" s="32">
        <f t="shared" si="0"/>
        <v>35140</v>
      </c>
      <c r="AF10" s="32">
        <f t="shared" ref="AF10:AM10" si="1">AE10</f>
        <v>35140</v>
      </c>
      <c r="AG10" s="32">
        <f t="shared" si="1"/>
        <v>35140</v>
      </c>
      <c r="AH10" s="32">
        <f t="shared" si="1"/>
        <v>35140</v>
      </c>
      <c r="AI10" s="32">
        <f t="shared" si="1"/>
        <v>35140</v>
      </c>
      <c r="AJ10" s="32">
        <f t="shared" si="1"/>
        <v>35140</v>
      </c>
      <c r="AK10" s="32">
        <f t="shared" si="1"/>
        <v>35140</v>
      </c>
      <c r="AL10" s="32">
        <f t="shared" si="1"/>
        <v>35140</v>
      </c>
      <c r="AM10" s="32">
        <f t="shared" si="1"/>
        <v>35140</v>
      </c>
    </row>
    <row r="11" spans="1:39" x14ac:dyDescent="0.25">
      <c r="A11" s="1"/>
      <c r="B11" s="1"/>
      <c r="C11" s="43">
        <f>SUM(C9:C10)</f>
        <v>35140</v>
      </c>
      <c r="D11" s="43">
        <f t="shared" ref="D11:AM11" si="2">SUM(D9:D10)</f>
        <v>35140</v>
      </c>
      <c r="E11" s="43">
        <f t="shared" si="2"/>
        <v>35140</v>
      </c>
      <c r="F11" s="43">
        <f t="shared" si="2"/>
        <v>35140</v>
      </c>
      <c r="G11" s="43">
        <f t="shared" si="2"/>
        <v>35140</v>
      </c>
      <c r="H11" s="43">
        <f t="shared" si="2"/>
        <v>35140</v>
      </c>
      <c r="I11" s="43">
        <f t="shared" si="2"/>
        <v>35140</v>
      </c>
      <c r="J11" s="43">
        <f t="shared" si="2"/>
        <v>35140</v>
      </c>
      <c r="K11" s="43">
        <f t="shared" si="2"/>
        <v>35140</v>
      </c>
      <c r="L11" s="43">
        <f t="shared" si="2"/>
        <v>35140</v>
      </c>
      <c r="M11" s="43">
        <f t="shared" si="2"/>
        <v>35140</v>
      </c>
      <c r="N11" s="43">
        <f t="shared" si="2"/>
        <v>35140</v>
      </c>
      <c r="O11" s="43">
        <f t="shared" si="2"/>
        <v>35140</v>
      </c>
      <c r="P11" s="43">
        <f t="shared" si="2"/>
        <v>35140</v>
      </c>
      <c r="Q11" s="43">
        <f t="shared" si="2"/>
        <v>35140</v>
      </c>
      <c r="R11" s="43">
        <f t="shared" si="2"/>
        <v>35140</v>
      </c>
      <c r="S11" s="43">
        <f t="shared" si="2"/>
        <v>35140</v>
      </c>
      <c r="T11" s="43">
        <f t="shared" si="2"/>
        <v>35140</v>
      </c>
      <c r="U11" s="43">
        <f t="shared" si="2"/>
        <v>35140</v>
      </c>
      <c r="V11" s="43">
        <f t="shared" si="2"/>
        <v>35140</v>
      </c>
      <c r="W11" s="43">
        <f t="shared" si="2"/>
        <v>35140</v>
      </c>
      <c r="X11" s="43">
        <f t="shared" si="2"/>
        <v>35140</v>
      </c>
      <c r="Y11" s="43">
        <f t="shared" si="2"/>
        <v>35140</v>
      </c>
      <c r="Z11" s="43">
        <f t="shared" si="2"/>
        <v>35140</v>
      </c>
      <c r="AA11" s="43">
        <f t="shared" si="2"/>
        <v>35140</v>
      </c>
      <c r="AB11" s="43">
        <f t="shared" si="2"/>
        <v>35140</v>
      </c>
      <c r="AC11" s="43">
        <f t="shared" si="2"/>
        <v>35140</v>
      </c>
      <c r="AD11" s="43">
        <f t="shared" si="2"/>
        <v>35140</v>
      </c>
      <c r="AE11" s="43">
        <f t="shared" si="2"/>
        <v>35140</v>
      </c>
      <c r="AF11" s="43">
        <f t="shared" si="2"/>
        <v>35140</v>
      </c>
      <c r="AG11" s="43">
        <f t="shared" si="2"/>
        <v>35140</v>
      </c>
      <c r="AH11" s="43">
        <f t="shared" si="2"/>
        <v>35140</v>
      </c>
      <c r="AI11" s="43">
        <f t="shared" si="2"/>
        <v>35140</v>
      </c>
      <c r="AJ11" s="43">
        <f t="shared" si="2"/>
        <v>35140</v>
      </c>
      <c r="AK11" s="43">
        <f t="shared" si="2"/>
        <v>35140</v>
      </c>
      <c r="AL11" s="43">
        <f t="shared" si="2"/>
        <v>35140</v>
      </c>
      <c r="AM11" s="43">
        <f t="shared" si="2"/>
        <v>35140</v>
      </c>
    </row>
    <row r="12" spans="1:39" x14ac:dyDescent="0.25">
      <c r="A12" s="1"/>
      <c r="B12" s="1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</row>
    <row r="13" spans="1:39" x14ac:dyDescent="0.25">
      <c r="A13" s="1" t="s">
        <v>3</v>
      </c>
      <c r="B13" s="1" t="s">
        <v>4</v>
      </c>
      <c r="C13" s="14">
        <v>0</v>
      </c>
      <c r="D13" s="14">
        <v>0</v>
      </c>
      <c r="E13" s="5">
        <v>7</v>
      </c>
      <c r="F13" s="5">
        <v>126</v>
      </c>
      <c r="G13" s="5">
        <v>191</v>
      </c>
      <c r="H13" s="30">
        <v>206.74</v>
      </c>
      <c r="I13" s="5">
        <v>249</v>
      </c>
      <c r="J13" s="5">
        <v>287</v>
      </c>
      <c r="K13" s="5">
        <v>335</v>
      </c>
      <c r="L13" s="5">
        <v>382</v>
      </c>
      <c r="M13" s="5">
        <v>395</v>
      </c>
      <c r="N13" s="5">
        <v>387</v>
      </c>
      <c r="O13" s="5">
        <v>403</v>
      </c>
      <c r="P13" s="31">
        <f t="shared" ref="P13:AM13" si="3">+O13+P39</f>
        <v>403</v>
      </c>
      <c r="Q13" s="31">
        <f t="shared" si="3"/>
        <v>933</v>
      </c>
      <c r="R13" s="31">
        <f t="shared" si="3"/>
        <v>1993</v>
      </c>
      <c r="S13" s="31">
        <f t="shared" si="3"/>
        <v>3053</v>
      </c>
      <c r="T13" s="31">
        <f t="shared" si="3"/>
        <v>4643</v>
      </c>
      <c r="U13" s="31">
        <f t="shared" si="3"/>
        <v>5703</v>
      </c>
      <c r="V13" s="31">
        <f t="shared" si="3"/>
        <v>5930</v>
      </c>
      <c r="W13" s="31">
        <f t="shared" si="3"/>
        <v>6130</v>
      </c>
      <c r="X13" s="31">
        <f t="shared" si="3"/>
        <v>6230</v>
      </c>
      <c r="Y13" s="31">
        <f t="shared" si="3"/>
        <v>6230</v>
      </c>
      <c r="Z13" s="31">
        <f t="shared" si="3"/>
        <v>6230</v>
      </c>
      <c r="AA13" s="31">
        <f t="shared" si="3"/>
        <v>6230</v>
      </c>
      <c r="AB13" s="31">
        <f t="shared" si="3"/>
        <v>6133</v>
      </c>
      <c r="AC13" s="31">
        <f t="shared" si="3"/>
        <v>6036</v>
      </c>
      <c r="AD13" s="31">
        <f t="shared" si="3"/>
        <v>5939</v>
      </c>
      <c r="AE13" s="31">
        <f t="shared" si="3"/>
        <v>5842</v>
      </c>
      <c r="AF13" s="31">
        <f t="shared" si="3"/>
        <v>5745</v>
      </c>
      <c r="AG13" s="31">
        <f t="shared" si="3"/>
        <v>5648</v>
      </c>
      <c r="AH13" s="31">
        <f t="shared" si="3"/>
        <v>5551</v>
      </c>
      <c r="AI13" s="31">
        <f t="shared" si="3"/>
        <v>5454</v>
      </c>
      <c r="AJ13" s="31">
        <f t="shared" si="3"/>
        <v>5357</v>
      </c>
      <c r="AK13" s="31">
        <f t="shared" si="3"/>
        <v>5260</v>
      </c>
      <c r="AL13" s="31">
        <f t="shared" si="3"/>
        <v>5163</v>
      </c>
      <c r="AM13" s="31">
        <f t="shared" si="3"/>
        <v>5066</v>
      </c>
    </row>
    <row r="14" spans="1:39" x14ac:dyDescent="0.25">
      <c r="A14" s="1"/>
      <c r="B14" s="1"/>
      <c r="C14" s="14"/>
      <c r="D14" s="14"/>
      <c r="H14" s="30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39" x14ac:dyDescent="0.25">
      <c r="A15" s="1"/>
      <c r="B15" s="1"/>
      <c r="C15" s="14"/>
      <c r="D15" s="14"/>
      <c r="H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7" spans="1:39" x14ac:dyDescent="0.25">
      <c r="A17" s="29" t="s">
        <v>7</v>
      </c>
      <c r="B17" s="33"/>
    </row>
    <row r="18" spans="1:39" x14ac:dyDescent="0.25">
      <c r="A18" s="1" t="s">
        <v>45</v>
      </c>
      <c r="B18" s="1" t="s">
        <v>46</v>
      </c>
      <c r="C18" s="6">
        <v>53482</v>
      </c>
      <c r="D18" s="6">
        <f t="shared" ref="D18" si="4">C18</f>
        <v>53482</v>
      </c>
      <c r="E18" s="6">
        <f t="shared" ref="E18" si="5">D18</f>
        <v>53482</v>
      </c>
      <c r="F18" s="6">
        <f t="shared" ref="F18" si="6">E18</f>
        <v>53482</v>
      </c>
      <c r="G18" s="6">
        <f t="shared" ref="G18" si="7">F18</f>
        <v>53482</v>
      </c>
      <c r="H18" s="6">
        <f t="shared" ref="H18" si="8">G18</f>
        <v>53482</v>
      </c>
      <c r="I18" s="6">
        <f t="shared" ref="I18" si="9">H18</f>
        <v>53482</v>
      </c>
      <c r="J18" s="6">
        <f t="shared" ref="J18" si="10">I18</f>
        <v>53482</v>
      </c>
      <c r="K18" s="6">
        <f t="shared" ref="K18" si="11">J18</f>
        <v>53482</v>
      </c>
      <c r="L18" s="6">
        <f t="shared" ref="L18" si="12">K18</f>
        <v>53482</v>
      </c>
      <c r="M18" s="6">
        <f t="shared" ref="M18" si="13">L18</f>
        <v>53482</v>
      </c>
      <c r="N18" s="6">
        <f t="shared" ref="N18" si="14">M18</f>
        <v>53482</v>
      </c>
      <c r="O18" s="6">
        <f t="shared" ref="O18" si="15">N18</f>
        <v>53482</v>
      </c>
      <c r="P18" s="6">
        <f t="shared" ref="P18" si="16">O18</f>
        <v>53482</v>
      </c>
      <c r="Q18" s="6">
        <f t="shared" ref="Q18" si="17">P18</f>
        <v>53482</v>
      </c>
      <c r="R18" s="6">
        <f t="shared" ref="R18" si="18">Q18</f>
        <v>53482</v>
      </c>
      <c r="S18" s="6">
        <f t="shared" ref="S18" si="19">R18</f>
        <v>53482</v>
      </c>
      <c r="T18" s="6">
        <f t="shared" ref="T18" si="20">S18</f>
        <v>53482</v>
      </c>
      <c r="U18" s="6">
        <f t="shared" ref="U18" si="21">T18</f>
        <v>53482</v>
      </c>
      <c r="V18" s="6">
        <f t="shared" ref="V18" si="22">U18</f>
        <v>53482</v>
      </c>
      <c r="W18" s="6">
        <f t="shared" ref="W18" si="23">V18</f>
        <v>53482</v>
      </c>
      <c r="X18" s="6">
        <f t="shared" ref="X18" si="24">W18</f>
        <v>53482</v>
      </c>
      <c r="Y18" s="6">
        <f t="shared" ref="Y18" si="25">X18</f>
        <v>53482</v>
      </c>
      <c r="Z18" s="6">
        <f t="shared" ref="Z18" si="26">Y18</f>
        <v>53482</v>
      </c>
      <c r="AA18" s="6">
        <f t="shared" ref="AA18" si="27">Z18</f>
        <v>53482</v>
      </c>
      <c r="AB18" s="6">
        <f t="shared" ref="AB18" si="28">AA18</f>
        <v>53482</v>
      </c>
      <c r="AC18" s="6">
        <f t="shared" ref="AC18" si="29">AB18</f>
        <v>53482</v>
      </c>
      <c r="AD18" s="6">
        <f t="shared" ref="AD18" si="30">AC18</f>
        <v>53482</v>
      </c>
      <c r="AE18" s="6">
        <f t="shared" ref="AE18" si="31">AD18</f>
        <v>53482</v>
      </c>
      <c r="AF18" s="6">
        <f t="shared" ref="AF18" si="32">AE18</f>
        <v>53482</v>
      </c>
      <c r="AG18" s="6">
        <f t="shared" ref="AG18" si="33">AF18</f>
        <v>53482</v>
      </c>
      <c r="AH18" s="6">
        <f t="shared" ref="AH18" si="34">AG18</f>
        <v>53482</v>
      </c>
      <c r="AI18" s="6">
        <f t="shared" ref="AI18" si="35">AH18</f>
        <v>53482</v>
      </c>
      <c r="AJ18" s="6">
        <f t="shared" ref="AJ18" si="36">AI18</f>
        <v>53482</v>
      </c>
      <c r="AK18" s="6">
        <f t="shared" ref="AK18" si="37">AJ18</f>
        <v>53482</v>
      </c>
      <c r="AL18" s="6">
        <f t="shared" ref="AL18" si="38">AK18</f>
        <v>53482</v>
      </c>
      <c r="AM18" s="6">
        <f t="shared" ref="AM18" si="39">AL18</f>
        <v>53482</v>
      </c>
    </row>
    <row r="19" spans="1:39" x14ac:dyDescent="0.25">
      <c r="A19" s="1" t="s">
        <v>61</v>
      </c>
      <c r="B19" s="1" t="s">
        <v>60</v>
      </c>
      <c r="C19" s="14">
        <v>-53482</v>
      </c>
      <c r="D19" s="14">
        <f t="shared" ref="D19:AE19" si="40">-D18</f>
        <v>-53482</v>
      </c>
      <c r="E19" s="14">
        <f t="shared" si="40"/>
        <v>-53482</v>
      </c>
      <c r="F19" s="14">
        <f t="shared" si="40"/>
        <v>-53482</v>
      </c>
      <c r="G19" s="14">
        <f t="shared" si="40"/>
        <v>-53482</v>
      </c>
      <c r="H19" s="14">
        <f t="shared" si="40"/>
        <v>-53482</v>
      </c>
      <c r="I19" s="14">
        <f t="shared" si="40"/>
        <v>-53482</v>
      </c>
      <c r="J19" s="14">
        <f t="shared" si="40"/>
        <v>-53482</v>
      </c>
      <c r="K19" s="14">
        <f t="shared" si="40"/>
        <v>-53482</v>
      </c>
      <c r="L19" s="14">
        <f t="shared" si="40"/>
        <v>-53482</v>
      </c>
      <c r="M19" s="14">
        <f t="shared" si="40"/>
        <v>-53482</v>
      </c>
      <c r="N19" s="14">
        <f t="shared" si="40"/>
        <v>-53482</v>
      </c>
      <c r="O19" s="14">
        <f t="shared" si="40"/>
        <v>-53482</v>
      </c>
      <c r="P19" s="14">
        <f t="shared" si="40"/>
        <v>-53482</v>
      </c>
      <c r="Q19" s="14">
        <f t="shared" si="40"/>
        <v>-53482</v>
      </c>
      <c r="R19" s="14">
        <f t="shared" si="40"/>
        <v>-53482</v>
      </c>
      <c r="S19" s="14">
        <f t="shared" si="40"/>
        <v>-53482</v>
      </c>
      <c r="T19" s="14">
        <f t="shared" si="40"/>
        <v>-53482</v>
      </c>
      <c r="U19" s="14">
        <f t="shared" si="40"/>
        <v>-53482</v>
      </c>
      <c r="V19" s="14">
        <f t="shared" si="40"/>
        <v>-53482</v>
      </c>
      <c r="W19" s="14">
        <f t="shared" si="40"/>
        <v>-53482</v>
      </c>
      <c r="X19" s="14">
        <f t="shared" si="40"/>
        <v>-53482</v>
      </c>
      <c r="Y19" s="14">
        <f t="shared" si="40"/>
        <v>-53482</v>
      </c>
      <c r="Z19" s="14">
        <f t="shared" si="40"/>
        <v>-53482</v>
      </c>
      <c r="AA19" s="14">
        <f t="shared" si="40"/>
        <v>-53482</v>
      </c>
      <c r="AB19" s="14">
        <f t="shared" si="40"/>
        <v>-53482</v>
      </c>
      <c r="AC19" s="14">
        <f t="shared" si="40"/>
        <v>-53482</v>
      </c>
      <c r="AD19" s="14">
        <f t="shared" si="40"/>
        <v>-53482</v>
      </c>
      <c r="AE19" s="14">
        <f t="shared" si="40"/>
        <v>-53482</v>
      </c>
      <c r="AF19" s="14">
        <f t="shared" ref="AF19:AM19" si="41">-AF18</f>
        <v>-53482</v>
      </c>
      <c r="AG19" s="14">
        <f t="shared" si="41"/>
        <v>-53482</v>
      </c>
      <c r="AH19" s="14">
        <f t="shared" si="41"/>
        <v>-53482</v>
      </c>
      <c r="AI19" s="14">
        <f t="shared" si="41"/>
        <v>-53482</v>
      </c>
      <c r="AJ19" s="14">
        <f t="shared" si="41"/>
        <v>-53482</v>
      </c>
      <c r="AK19" s="14">
        <f t="shared" si="41"/>
        <v>-53482</v>
      </c>
      <c r="AL19" s="14">
        <f t="shared" si="41"/>
        <v>-53482</v>
      </c>
      <c r="AM19" s="14">
        <f t="shared" si="41"/>
        <v>-53482</v>
      </c>
    </row>
    <row r="20" spans="1:39" x14ac:dyDescent="0.25">
      <c r="A20" s="1"/>
      <c r="B20" s="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x14ac:dyDescent="0.25">
      <c r="A21" s="1"/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x14ac:dyDescent="0.25">
      <c r="A22" s="1" t="s">
        <v>30</v>
      </c>
      <c r="B22" s="1" t="s">
        <v>31</v>
      </c>
      <c r="C22" s="32">
        <v>-2991</v>
      </c>
      <c r="D22" s="8">
        <v>-4423</v>
      </c>
      <c r="E22" s="8">
        <v>-5807</v>
      </c>
      <c r="F22" s="8">
        <v>-4289</v>
      </c>
      <c r="G22" s="8">
        <v>-4718</v>
      </c>
      <c r="H22" s="8">
        <v>-4161.24</v>
      </c>
      <c r="I22" s="8">
        <v>-5992</v>
      </c>
      <c r="J22" s="8">
        <v>-6327</v>
      </c>
      <c r="K22" s="8">
        <v>-4747</v>
      </c>
      <c r="L22" s="8">
        <v>-6686</v>
      </c>
      <c r="M22" s="8">
        <v>-7034</v>
      </c>
      <c r="N22" s="8">
        <v>-6079</v>
      </c>
      <c r="O22" s="8">
        <v>-6144</v>
      </c>
      <c r="P22" s="8">
        <v>-7392.1469519738166</v>
      </c>
      <c r="Q22" s="8">
        <v>-7234.2065660166372</v>
      </c>
      <c r="R22" s="8">
        <v>-6875.5143159130675</v>
      </c>
      <c r="S22" s="8">
        <v>-6505.4623443207201</v>
      </c>
      <c r="T22" s="8">
        <v>-5559.6356982456637</v>
      </c>
      <c r="U22" s="8">
        <v>-4289.9623105169167</v>
      </c>
      <c r="V22" s="8">
        <v>-3515.9185946840062</v>
      </c>
      <c r="W22" s="8">
        <v>-2741.8297280394786</v>
      </c>
      <c r="X22" s="8">
        <v>-1967.6957075279622</v>
      </c>
      <c r="Y22" s="8">
        <v>-1193.5165305155701</v>
      </c>
      <c r="Z22" s="8">
        <v>-419.29219436825059</v>
      </c>
    </row>
    <row r="23" spans="1:39" x14ac:dyDescent="0.25">
      <c r="A23" s="1"/>
      <c r="B23" s="1"/>
      <c r="C23" s="3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39" x14ac:dyDescent="0.25">
      <c r="A24" s="1"/>
      <c r="B24" s="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39" x14ac:dyDescent="0.25">
      <c r="A25" s="1" t="s">
        <v>64</v>
      </c>
      <c r="B25" s="1" t="s">
        <v>65</v>
      </c>
      <c r="C25" s="14">
        <v>-8215.6666666666661</v>
      </c>
      <c r="D25" s="14">
        <f>C25-D31+20</f>
        <v>-8243.8333333333321</v>
      </c>
      <c r="E25" s="14">
        <f>D25-E31+19</f>
        <v>-8272.9999999999982</v>
      </c>
      <c r="F25" s="14">
        <f t="shared" ref="F25:K25" si="42">E25-F31+20</f>
        <v>-8301.1666666666642</v>
      </c>
      <c r="G25" s="14">
        <f t="shared" si="42"/>
        <v>-8329.3333333333303</v>
      </c>
      <c r="H25" s="14">
        <f t="shared" si="42"/>
        <v>-8357.4999999999964</v>
      </c>
      <c r="I25" s="14">
        <f t="shared" si="42"/>
        <v>-8385.6666666666624</v>
      </c>
      <c r="J25" s="14">
        <f t="shared" si="42"/>
        <v>-8413.8333333333285</v>
      </c>
      <c r="K25" s="14">
        <f t="shared" si="42"/>
        <v>-8441.9999999999945</v>
      </c>
      <c r="L25" s="14">
        <f>K25-L31+10626</f>
        <v>2135.8333333333394</v>
      </c>
      <c r="M25" s="14">
        <f>L25-M31+20</f>
        <v>2107.6666666666729</v>
      </c>
      <c r="N25" s="14">
        <f>M25-N31+20</f>
        <v>2079.5000000000064</v>
      </c>
      <c r="O25" s="14">
        <f>N25-O31+21</f>
        <v>2052.3333333333394</v>
      </c>
      <c r="P25" s="14">
        <f t="shared" ref="P25:AM25" si="43">O25-P31</f>
        <v>2004.1666666666727</v>
      </c>
      <c r="Q25" s="14">
        <f t="shared" si="43"/>
        <v>1956.0000000000059</v>
      </c>
      <c r="R25" s="14">
        <f t="shared" si="43"/>
        <v>1907.8333333333392</v>
      </c>
      <c r="S25" s="14">
        <f t="shared" si="43"/>
        <v>1859.6666666666724</v>
      </c>
      <c r="T25" s="14">
        <f t="shared" si="43"/>
        <v>1811.5000000000057</v>
      </c>
      <c r="U25" s="14">
        <f t="shared" si="43"/>
        <v>1763.3333333333389</v>
      </c>
      <c r="V25" s="14">
        <f t="shared" si="43"/>
        <v>1715.1666666666722</v>
      </c>
      <c r="W25" s="14">
        <f t="shared" si="43"/>
        <v>1667.0000000000055</v>
      </c>
      <c r="X25" s="14">
        <f t="shared" si="43"/>
        <v>1618.8333333333387</v>
      </c>
      <c r="Y25" s="14">
        <f t="shared" si="43"/>
        <v>1570.666666666672</v>
      </c>
      <c r="Z25" s="14">
        <f t="shared" si="43"/>
        <v>1522.5000000000052</v>
      </c>
      <c r="AA25" s="14">
        <f t="shared" si="43"/>
        <v>1474.3333333333385</v>
      </c>
      <c r="AB25" s="14">
        <f t="shared" si="43"/>
        <v>1426.1666666666717</v>
      </c>
      <c r="AC25" s="14">
        <f t="shared" si="43"/>
        <v>1378.000000000005</v>
      </c>
      <c r="AD25" s="14">
        <f t="shared" si="43"/>
        <v>1329.8333333333383</v>
      </c>
      <c r="AE25" s="14">
        <f t="shared" si="43"/>
        <v>1281.6666666666715</v>
      </c>
      <c r="AF25" s="14">
        <f t="shared" si="43"/>
        <v>1233.5000000000048</v>
      </c>
      <c r="AG25" s="14">
        <f t="shared" si="43"/>
        <v>1185.333333333338</v>
      </c>
      <c r="AH25" s="14">
        <f t="shared" si="43"/>
        <v>1137.1666666666713</v>
      </c>
      <c r="AI25" s="14">
        <f t="shared" si="43"/>
        <v>1089.0000000000045</v>
      </c>
      <c r="AJ25" s="14">
        <f t="shared" si="43"/>
        <v>1040.8333333333378</v>
      </c>
      <c r="AK25" s="14">
        <f t="shared" si="43"/>
        <v>992.66666666667118</v>
      </c>
      <c r="AL25" s="14">
        <f t="shared" si="43"/>
        <v>944.50000000000455</v>
      </c>
      <c r="AM25" s="14">
        <f t="shared" si="43"/>
        <v>896.33333333333792</v>
      </c>
    </row>
    <row r="26" spans="1:39" x14ac:dyDescent="0.25">
      <c r="A26" s="1" t="s">
        <v>66</v>
      </c>
      <c r="B26" s="1" t="s">
        <v>67</v>
      </c>
      <c r="C26" s="14">
        <v>-205203</v>
      </c>
      <c r="D26" s="14">
        <f t="shared" ref="D26:I26" si="44">C26-D32+27</f>
        <v>-204744.75</v>
      </c>
      <c r="E26" s="14">
        <f t="shared" si="44"/>
        <v>-204286.5</v>
      </c>
      <c r="F26" s="14">
        <f t="shared" si="44"/>
        <v>-203828.25</v>
      </c>
      <c r="G26" s="14">
        <f t="shared" si="44"/>
        <v>-203370</v>
      </c>
      <c r="H26" s="14">
        <f t="shared" si="44"/>
        <v>-202911.75</v>
      </c>
      <c r="I26" s="14">
        <f t="shared" si="44"/>
        <v>-202453.5</v>
      </c>
      <c r="J26" s="14">
        <f>I26-J32+26</f>
        <v>-201996.25</v>
      </c>
      <c r="K26" s="14">
        <f>J26-K32+27</f>
        <v>-201538</v>
      </c>
      <c r="L26" s="14">
        <f>K26-L32+27</f>
        <v>-201079.75</v>
      </c>
      <c r="M26" s="14">
        <f>L26-M32+27</f>
        <v>-200621.5</v>
      </c>
      <c r="N26" s="14">
        <f>M26-N32+26</f>
        <v>-200164.25</v>
      </c>
      <c r="O26" s="14">
        <f>N26-O32+27</f>
        <v>-199706</v>
      </c>
      <c r="P26" s="14">
        <f t="shared" ref="P26:AM26" si="45">O26-P32</f>
        <v>-199274.75</v>
      </c>
      <c r="Q26" s="14">
        <f t="shared" si="45"/>
        <v>-198843.5</v>
      </c>
      <c r="R26" s="14">
        <f t="shared" si="45"/>
        <v>-198412.25</v>
      </c>
      <c r="S26" s="14">
        <f t="shared" si="45"/>
        <v>-197981</v>
      </c>
      <c r="T26" s="14">
        <f t="shared" si="45"/>
        <v>-197549.75</v>
      </c>
      <c r="U26" s="14">
        <f t="shared" si="45"/>
        <v>-197118.5</v>
      </c>
      <c r="V26" s="14">
        <f t="shared" si="45"/>
        <v>-196687.25</v>
      </c>
      <c r="W26" s="14">
        <f t="shared" si="45"/>
        <v>-196256</v>
      </c>
      <c r="X26" s="14">
        <f t="shared" si="45"/>
        <v>-195824.75</v>
      </c>
      <c r="Y26" s="14">
        <f t="shared" si="45"/>
        <v>-195393.5</v>
      </c>
      <c r="Z26" s="14">
        <f t="shared" si="45"/>
        <v>-194962.25</v>
      </c>
      <c r="AA26" s="14">
        <f t="shared" si="45"/>
        <v>-194531</v>
      </c>
      <c r="AB26" s="14">
        <f t="shared" si="45"/>
        <v>-194099.75</v>
      </c>
      <c r="AC26" s="14">
        <f t="shared" si="45"/>
        <v>-193668.5</v>
      </c>
      <c r="AD26" s="14">
        <f t="shared" si="45"/>
        <v>-193237.25</v>
      </c>
      <c r="AE26" s="14">
        <f t="shared" si="45"/>
        <v>-192806</v>
      </c>
      <c r="AF26" s="14">
        <f t="shared" si="45"/>
        <v>-192374.75</v>
      </c>
      <c r="AG26" s="14">
        <f t="shared" si="45"/>
        <v>-191943.5</v>
      </c>
      <c r="AH26" s="14">
        <f t="shared" si="45"/>
        <v>-191512.25</v>
      </c>
      <c r="AI26" s="14">
        <f t="shared" si="45"/>
        <v>-191081</v>
      </c>
      <c r="AJ26" s="14">
        <f t="shared" si="45"/>
        <v>-190649.75</v>
      </c>
      <c r="AK26" s="14">
        <f t="shared" si="45"/>
        <v>-190218.5</v>
      </c>
      <c r="AL26" s="14">
        <f t="shared" si="45"/>
        <v>-189787.25</v>
      </c>
      <c r="AM26" s="14">
        <f t="shared" si="45"/>
        <v>-189356</v>
      </c>
    </row>
    <row r="27" spans="1:39" x14ac:dyDescent="0.25">
      <c r="A27" s="29"/>
      <c r="B27" s="33"/>
    </row>
    <row r="28" spans="1:39" x14ac:dyDescent="0.25">
      <c r="A28" s="34" t="s">
        <v>22</v>
      </c>
    </row>
    <row r="30" spans="1:39" x14ac:dyDescent="0.25">
      <c r="A30" s="1" t="s">
        <v>38</v>
      </c>
      <c r="B30" s="34"/>
      <c r="C30" s="8">
        <v>4143</v>
      </c>
      <c r="D30" s="8">
        <v>4143</v>
      </c>
      <c r="E30" s="8">
        <v>4143</v>
      </c>
      <c r="F30" s="8">
        <v>4143</v>
      </c>
      <c r="G30" s="8">
        <v>4143</v>
      </c>
      <c r="H30" s="8">
        <v>4143</v>
      </c>
      <c r="I30" s="8">
        <v>4143</v>
      </c>
      <c r="J30" s="8">
        <v>4143</v>
      </c>
      <c r="K30" s="8">
        <v>4143</v>
      </c>
      <c r="L30" s="8">
        <v>4143</v>
      </c>
      <c r="M30" s="8">
        <v>4143</v>
      </c>
      <c r="N30" s="8">
        <v>4143</v>
      </c>
      <c r="O30" s="8">
        <v>4143</v>
      </c>
      <c r="P30" s="8">
        <v>4143</v>
      </c>
      <c r="Q30" s="8">
        <v>4143</v>
      </c>
      <c r="R30" s="8">
        <v>4143</v>
      </c>
      <c r="S30" s="8">
        <v>4143</v>
      </c>
      <c r="T30" s="8">
        <v>4143</v>
      </c>
      <c r="U30" s="8">
        <v>4143</v>
      </c>
      <c r="V30" s="8">
        <v>4143</v>
      </c>
      <c r="W30" s="8">
        <v>4143</v>
      </c>
      <c r="X30" s="8">
        <v>4143</v>
      </c>
      <c r="Y30" s="8">
        <v>4143</v>
      </c>
      <c r="Z30" s="8">
        <v>4143</v>
      </c>
      <c r="AA30" s="8">
        <v>4143</v>
      </c>
      <c r="AB30" s="8">
        <v>4143</v>
      </c>
      <c r="AC30" s="8">
        <v>4143</v>
      </c>
      <c r="AD30" s="8">
        <v>4143</v>
      </c>
      <c r="AE30" s="8">
        <v>4143</v>
      </c>
      <c r="AF30" s="8">
        <v>4143</v>
      </c>
      <c r="AG30" s="8">
        <v>4143</v>
      </c>
      <c r="AH30" s="8">
        <v>4143</v>
      </c>
      <c r="AI30" s="8">
        <v>4143</v>
      </c>
      <c r="AJ30" s="8">
        <v>4143</v>
      </c>
      <c r="AK30" s="8">
        <v>4143</v>
      </c>
      <c r="AL30" s="8">
        <v>4143</v>
      </c>
      <c r="AM30" s="8">
        <v>4143</v>
      </c>
    </row>
    <row r="31" spans="1:39" x14ac:dyDescent="0.25">
      <c r="A31" s="1" t="s">
        <v>72</v>
      </c>
      <c r="B31" s="34"/>
      <c r="C31" s="8">
        <v>48.166666666666664</v>
      </c>
      <c r="D31" s="8">
        <f t="shared" ref="D31:AM31" si="46">578/12</f>
        <v>48.166666666666664</v>
      </c>
      <c r="E31" s="8">
        <f t="shared" si="46"/>
        <v>48.166666666666664</v>
      </c>
      <c r="F31" s="8">
        <f t="shared" si="46"/>
        <v>48.166666666666664</v>
      </c>
      <c r="G31" s="8">
        <f t="shared" si="46"/>
        <v>48.166666666666664</v>
      </c>
      <c r="H31" s="8">
        <f t="shared" si="46"/>
        <v>48.166666666666664</v>
      </c>
      <c r="I31" s="8">
        <f t="shared" si="46"/>
        <v>48.166666666666664</v>
      </c>
      <c r="J31" s="8">
        <f t="shared" si="46"/>
        <v>48.166666666666664</v>
      </c>
      <c r="K31" s="8">
        <f t="shared" si="46"/>
        <v>48.166666666666664</v>
      </c>
      <c r="L31" s="8">
        <f t="shared" si="46"/>
        <v>48.166666666666664</v>
      </c>
      <c r="M31" s="8">
        <f t="shared" si="46"/>
        <v>48.166666666666664</v>
      </c>
      <c r="N31" s="8">
        <f t="shared" si="46"/>
        <v>48.166666666666664</v>
      </c>
      <c r="O31" s="8">
        <f t="shared" si="46"/>
        <v>48.166666666666664</v>
      </c>
      <c r="P31" s="8">
        <f t="shared" si="46"/>
        <v>48.166666666666664</v>
      </c>
      <c r="Q31" s="8">
        <f t="shared" si="46"/>
        <v>48.166666666666664</v>
      </c>
      <c r="R31" s="8">
        <f t="shared" si="46"/>
        <v>48.166666666666664</v>
      </c>
      <c r="S31" s="8">
        <f t="shared" si="46"/>
        <v>48.166666666666664</v>
      </c>
      <c r="T31" s="8">
        <f t="shared" si="46"/>
        <v>48.166666666666664</v>
      </c>
      <c r="U31" s="8">
        <f t="shared" si="46"/>
        <v>48.166666666666664</v>
      </c>
      <c r="V31" s="8">
        <f t="shared" si="46"/>
        <v>48.166666666666664</v>
      </c>
      <c r="W31" s="8">
        <f t="shared" si="46"/>
        <v>48.166666666666664</v>
      </c>
      <c r="X31" s="8">
        <f t="shared" si="46"/>
        <v>48.166666666666664</v>
      </c>
      <c r="Y31" s="8">
        <f t="shared" si="46"/>
        <v>48.166666666666664</v>
      </c>
      <c r="Z31" s="8">
        <f t="shared" si="46"/>
        <v>48.166666666666664</v>
      </c>
      <c r="AA31" s="8">
        <f t="shared" si="46"/>
        <v>48.166666666666664</v>
      </c>
      <c r="AB31" s="8">
        <f t="shared" si="46"/>
        <v>48.166666666666664</v>
      </c>
      <c r="AC31" s="8">
        <f t="shared" si="46"/>
        <v>48.166666666666664</v>
      </c>
      <c r="AD31" s="8">
        <f t="shared" si="46"/>
        <v>48.166666666666664</v>
      </c>
      <c r="AE31" s="8">
        <f t="shared" si="46"/>
        <v>48.166666666666664</v>
      </c>
      <c r="AF31" s="8">
        <f t="shared" si="46"/>
        <v>48.166666666666664</v>
      </c>
      <c r="AG31" s="8">
        <f t="shared" si="46"/>
        <v>48.166666666666664</v>
      </c>
      <c r="AH31" s="8">
        <f t="shared" si="46"/>
        <v>48.166666666666664</v>
      </c>
      <c r="AI31" s="8">
        <f t="shared" si="46"/>
        <v>48.166666666666664</v>
      </c>
      <c r="AJ31" s="8">
        <f t="shared" si="46"/>
        <v>48.166666666666664</v>
      </c>
      <c r="AK31" s="8">
        <f t="shared" si="46"/>
        <v>48.166666666666664</v>
      </c>
      <c r="AL31" s="8">
        <f t="shared" si="46"/>
        <v>48.166666666666664</v>
      </c>
      <c r="AM31" s="8">
        <f t="shared" si="46"/>
        <v>48.166666666666664</v>
      </c>
    </row>
    <row r="32" spans="1:39" x14ac:dyDescent="0.25">
      <c r="A32" s="1" t="s">
        <v>70</v>
      </c>
      <c r="B32" s="34"/>
      <c r="C32" s="8">
        <v>-431.25</v>
      </c>
      <c r="D32" s="8">
        <f t="shared" ref="D32:AM32" si="47">-5175/12</f>
        <v>-431.25</v>
      </c>
      <c r="E32" s="8">
        <f t="shared" si="47"/>
        <v>-431.25</v>
      </c>
      <c r="F32" s="8">
        <f t="shared" si="47"/>
        <v>-431.25</v>
      </c>
      <c r="G32" s="8">
        <f t="shared" si="47"/>
        <v>-431.25</v>
      </c>
      <c r="H32" s="8">
        <f t="shared" si="47"/>
        <v>-431.25</v>
      </c>
      <c r="I32" s="8">
        <f t="shared" si="47"/>
        <v>-431.25</v>
      </c>
      <c r="J32" s="8">
        <f t="shared" si="47"/>
        <v>-431.25</v>
      </c>
      <c r="K32" s="8">
        <f t="shared" si="47"/>
        <v>-431.25</v>
      </c>
      <c r="L32" s="8">
        <f t="shared" si="47"/>
        <v>-431.25</v>
      </c>
      <c r="M32" s="8">
        <f t="shared" si="47"/>
        <v>-431.25</v>
      </c>
      <c r="N32" s="8">
        <f t="shared" si="47"/>
        <v>-431.25</v>
      </c>
      <c r="O32" s="8">
        <f t="shared" si="47"/>
        <v>-431.25</v>
      </c>
      <c r="P32" s="8">
        <f t="shared" si="47"/>
        <v>-431.25</v>
      </c>
      <c r="Q32" s="8">
        <f t="shared" si="47"/>
        <v>-431.25</v>
      </c>
      <c r="R32" s="8">
        <f t="shared" si="47"/>
        <v>-431.25</v>
      </c>
      <c r="S32" s="8">
        <f t="shared" si="47"/>
        <v>-431.25</v>
      </c>
      <c r="T32" s="8">
        <f t="shared" si="47"/>
        <v>-431.25</v>
      </c>
      <c r="U32" s="8">
        <f t="shared" si="47"/>
        <v>-431.25</v>
      </c>
      <c r="V32" s="8">
        <f t="shared" si="47"/>
        <v>-431.25</v>
      </c>
      <c r="W32" s="8">
        <f t="shared" si="47"/>
        <v>-431.25</v>
      </c>
      <c r="X32" s="8">
        <f t="shared" si="47"/>
        <v>-431.25</v>
      </c>
      <c r="Y32" s="8">
        <f t="shared" si="47"/>
        <v>-431.25</v>
      </c>
      <c r="Z32" s="8">
        <f t="shared" si="47"/>
        <v>-431.25</v>
      </c>
      <c r="AA32" s="8">
        <f t="shared" si="47"/>
        <v>-431.25</v>
      </c>
      <c r="AB32" s="8">
        <f t="shared" si="47"/>
        <v>-431.25</v>
      </c>
      <c r="AC32" s="8">
        <f t="shared" si="47"/>
        <v>-431.25</v>
      </c>
      <c r="AD32" s="8">
        <f t="shared" si="47"/>
        <v>-431.25</v>
      </c>
      <c r="AE32" s="8">
        <f t="shared" si="47"/>
        <v>-431.25</v>
      </c>
      <c r="AF32" s="8">
        <f t="shared" si="47"/>
        <v>-431.25</v>
      </c>
      <c r="AG32" s="8">
        <f t="shared" si="47"/>
        <v>-431.25</v>
      </c>
      <c r="AH32" s="8">
        <f t="shared" si="47"/>
        <v>-431.25</v>
      </c>
      <c r="AI32" s="8">
        <f t="shared" si="47"/>
        <v>-431.25</v>
      </c>
      <c r="AJ32" s="8">
        <f t="shared" si="47"/>
        <v>-431.25</v>
      </c>
      <c r="AK32" s="8">
        <f t="shared" si="47"/>
        <v>-431.25</v>
      </c>
      <c r="AL32" s="8">
        <f t="shared" si="47"/>
        <v>-431.25</v>
      </c>
      <c r="AM32" s="8">
        <f t="shared" si="47"/>
        <v>-431.25</v>
      </c>
    </row>
    <row r="35" spans="15:39" x14ac:dyDescent="0.25">
      <c r="P35" s="32"/>
    </row>
    <row r="36" spans="15:39" x14ac:dyDescent="0.25">
      <c r="P36" s="32"/>
    </row>
    <row r="38" spans="15:39" x14ac:dyDescent="0.25">
      <c r="O38" s="35">
        <v>44561</v>
      </c>
      <c r="AA38" s="31">
        <f>+SUM(Q39:AA39)-AA40</f>
        <v>0</v>
      </c>
    </row>
    <row r="39" spans="15:39" x14ac:dyDescent="0.25">
      <c r="O39" s="5" t="s">
        <v>88</v>
      </c>
      <c r="P39" s="31"/>
      <c r="Q39" s="8">
        <v>530</v>
      </c>
      <c r="R39" s="8">
        <f>530*2</f>
        <v>1060</v>
      </c>
      <c r="S39" s="8">
        <f>530*2</f>
        <v>1060</v>
      </c>
      <c r="T39" s="8">
        <f>530*3</f>
        <v>1590</v>
      </c>
      <c r="U39" s="8">
        <f>530*2</f>
        <v>1060</v>
      </c>
      <c r="V39" s="8">
        <v>227</v>
      </c>
      <c r="W39" s="8">
        <v>200</v>
      </c>
      <c r="X39" s="8">
        <v>100</v>
      </c>
      <c r="Y39" s="8">
        <v>0</v>
      </c>
      <c r="Z39" s="8">
        <v>0</v>
      </c>
      <c r="AA39" s="8">
        <v>0</v>
      </c>
      <c r="AB39" s="8">
        <f>-ROUND($AA$40/60,0)</f>
        <v>-97</v>
      </c>
      <c r="AC39" s="8">
        <f t="shared" ref="AC39:AM39" si="48">-ROUND($AA$40/60,0)</f>
        <v>-97</v>
      </c>
      <c r="AD39" s="8">
        <f t="shared" si="48"/>
        <v>-97</v>
      </c>
      <c r="AE39" s="8">
        <f t="shared" si="48"/>
        <v>-97</v>
      </c>
      <c r="AF39" s="8">
        <f t="shared" si="48"/>
        <v>-97</v>
      </c>
      <c r="AG39" s="8">
        <f t="shared" si="48"/>
        <v>-97</v>
      </c>
      <c r="AH39" s="8">
        <f t="shared" si="48"/>
        <v>-97</v>
      </c>
      <c r="AI39" s="8">
        <f t="shared" si="48"/>
        <v>-97</v>
      </c>
      <c r="AJ39" s="8">
        <f t="shared" si="48"/>
        <v>-97</v>
      </c>
      <c r="AK39" s="8">
        <f t="shared" si="48"/>
        <v>-97</v>
      </c>
      <c r="AL39" s="8">
        <f t="shared" si="48"/>
        <v>-97</v>
      </c>
      <c r="AM39" s="8">
        <f t="shared" si="48"/>
        <v>-97</v>
      </c>
    </row>
    <row r="40" spans="15:39" x14ac:dyDescent="0.25">
      <c r="O40" s="5" t="s">
        <v>87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>
        <v>5827</v>
      </c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</row>
  </sheetData>
  <pageMargins left="0.7" right="0.7" top="0.75" bottom="0.75" header="0.3" footer="0.3"/>
  <pageSetup scale="3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M35"/>
  <sheetViews>
    <sheetView zoomScale="85" zoomScaleNormal="85" workbookViewId="0">
      <pane xSplit="2" ySplit="3" topLeftCell="T4" activePane="bottomRight" state="frozen"/>
      <selection pane="topRight" activeCell="C1" sqref="C1"/>
      <selection pane="bottomLeft" activeCell="A3" sqref="A3"/>
      <selection pane="bottomRight" activeCell="AA12" sqref="AA12"/>
    </sheetView>
  </sheetViews>
  <sheetFormatPr defaultColWidth="9.140625" defaultRowHeight="15" x14ac:dyDescent="0.25"/>
  <cols>
    <col min="1" max="1" width="61.42578125" style="3" bestFit="1" customWidth="1"/>
    <col min="2" max="2" width="16" style="3" bestFit="1" customWidth="1"/>
    <col min="3" max="14" width="10.28515625" style="3" customWidth="1"/>
    <col min="15" max="39" width="10.28515625" style="3" bestFit="1" customWidth="1"/>
    <col min="40" max="40" width="50.28515625" style="3" customWidth="1"/>
    <col min="41" max="16384" width="9.140625" style="3"/>
  </cols>
  <sheetData>
    <row r="1" spans="1:39" x14ac:dyDescent="0.25">
      <c r="C1" s="9" t="s">
        <v>56</v>
      </c>
      <c r="D1" s="9" t="s">
        <v>56</v>
      </c>
      <c r="E1" s="9" t="s">
        <v>56</v>
      </c>
      <c r="F1" s="9" t="s">
        <v>56</v>
      </c>
      <c r="G1" s="9" t="s">
        <v>56</v>
      </c>
      <c r="H1" s="9" t="s">
        <v>56</v>
      </c>
      <c r="I1" s="9" t="s">
        <v>56</v>
      </c>
      <c r="J1" s="9" t="s">
        <v>56</v>
      </c>
      <c r="K1" s="9" t="s">
        <v>56</v>
      </c>
      <c r="L1" s="9" t="s">
        <v>56</v>
      </c>
      <c r="M1" s="9" t="s">
        <v>56</v>
      </c>
      <c r="N1" s="9" t="s">
        <v>56</v>
      </c>
      <c r="O1" s="9" t="s">
        <v>57</v>
      </c>
      <c r="P1" s="9" t="s">
        <v>57</v>
      </c>
      <c r="Q1" s="9" t="s">
        <v>57</v>
      </c>
      <c r="R1" s="9" t="s">
        <v>57</v>
      </c>
      <c r="S1" s="9" t="s">
        <v>57</v>
      </c>
      <c r="T1" s="9" t="s">
        <v>57</v>
      </c>
      <c r="U1" s="9" t="s">
        <v>57</v>
      </c>
      <c r="V1" s="9" t="s">
        <v>57</v>
      </c>
      <c r="W1" s="9" t="s">
        <v>57</v>
      </c>
      <c r="X1" s="9" t="s">
        <v>57</v>
      </c>
      <c r="Y1" s="9" t="s">
        <v>57</v>
      </c>
      <c r="Z1" s="9" t="s">
        <v>57</v>
      </c>
      <c r="AA1" s="9" t="s">
        <v>57</v>
      </c>
      <c r="AB1" s="9" t="s">
        <v>57</v>
      </c>
      <c r="AC1" s="9" t="s">
        <v>57</v>
      </c>
      <c r="AD1" s="9" t="s">
        <v>57</v>
      </c>
      <c r="AE1" s="9" t="s">
        <v>57</v>
      </c>
      <c r="AF1" s="9" t="s">
        <v>57</v>
      </c>
      <c r="AG1" s="9" t="s">
        <v>57</v>
      </c>
      <c r="AH1" s="9" t="s">
        <v>57</v>
      </c>
      <c r="AI1" s="9" t="s">
        <v>57</v>
      </c>
      <c r="AJ1" s="9" t="s">
        <v>57</v>
      </c>
      <c r="AK1" s="9" t="s">
        <v>57</v>
      </c>
      <c r="AL1" s="9" t="s">
        <v>57</v>
      </c>
      <c r="AM1" s="9" t="s">
        <v>57</v>
      </c>
    </row>
    <row r="2" spans="1:39" x14ac:dyDescent="0.25">
      <c r="A2" s="3" t="s">
        <v>55</v>
      </c>
      <c r="C2" s="37" t="s">
        <v>17</v>
      </c>
      <c r="D2" s="37" t="s">
        <v>18</v>
      </c>
      <c r="E2" s="37" t="s">
        <v>19</v>
      </c>
      <c r="F2" s="37" t="s">
        <v>20</v>
      </c>
      <c r="G2" s="37" t="s">
        <v>21</v>
      </c>
      <c r="H2" s="37" t="s">
        <v>10</v>
      </c>
      <c r="I2" s="37" t="s">
        <v>11</v>
      </c>
      <c r="J2" s="37" t="s">
        <v>12</v>
      </c>
      <c r="K2" s="37" t="s">
        <v>13</v>
      </c>
      <c r="L2" s="37" t="s">
        <v>14</v>
      </c>
      <c r="M2" s="37" t="s">
        <v>15</v>
      </c>
      <c r="N2" s="37" t="s">
        <v>16</v>
      </c>
      <c r="O2" s="37" t="s">
        <v>17</v>
      </c>
      <c r="P2" s="37" t="s">
        <v>18</v>
      </c>
      <c r="Q2" s="37" t="s">
        <v>19</v>
      </c>
      <c r="R2" s="37" t="s">
        <v>20</v>
      </c>
      <c r="S2" s="37" t="s">
        <v>21</v>
      </c>
      <c r="T2" s="37" t="s">
        <v>10</v>
      </c>
      <c r="U2" s="37" t="s">
        <v>11</v>
      </c>
      <c r="V2" s="37" t="s">
        <v>12</v>
      </c>
      <c r="W2" s="37" t="s">
        <v>13</v>
      </c>
      <c r="X2" s="37" t="s">
        <v>14</v>
      </c>
      <c r="Y2" s="37" t="s">
        <v>15</v>
      </c>
      <c r="Z2" s="37" t="s">
        <v>16</v>
      </c>
      <c r="AA2" s="37" t="s">
        <v>17</v>
      </c>
      <c r="AB2" s="37" t="s">
        <v>18</v>
      </c>
      <c r="AC2" s="37" t="s">
        <v>19</v>
      </c>
      <c r="AD2" s="37" t="s">
        <v>20</v>
      </c>
      <c r="AE2" s="37" t="s">
        <v>21</v>
      </c>
      <c r="AF2" s="37" t="s">
        <v>10</v>
      </c>
      <c r="AG2" s="37" t="s">
        <v>11</v>
      </c>
      <c r="AH2" s="37" t="s">
        <v>12</v>
      </c>
      <c r="AI2" s="37" t="s">
        <v>13</v>
      </c>
      <c r="AJ2" s="37" t="s">
        <v>14</v>
      </c>
      <c r="AK2" s="37" t="s">
        <v>15</v>
      </c>
      <c r="AL2" s="37" t="s">
        <v>16</v>
      </c>
      <c r="AM2" s="37" t="s">
        <v>17</v>
      </c>
    </row>
    <row r="3" spans="1:39" x14ac:dyDescent="0.25">
      <c r="C3" s="9">
        <v>2020</v>
      </c>
      <c r="D3" s="9">
        <v>2021</v>
      </c>
      <c r="E3" s="9">
        <v>2021</v>
      </c>
      <c r="F3" s="9">
        <v>2021</v>
      </c>
      <c r="G3" s="9">
        <v>2021</v>
      </c>
      <c r="H3" s="9">
        <v>2021</v>
      </c>
      <c r="I3" s="9">
        <v>2021</v>
      </c>
      <c r="J3" s="9">
        <v>2021</v>
      </c>
      <c r="K3" s="9">
        <v>2021</v>
      </c>
      <c r="L3" s="9">
        <v>2021</v>
      </c>
      <c r="M3" s="9">
        <v>2021</v>
      </c>
      <c r="N3" s="9">
        <v>2021</v>
      </c>
      <c r="O3" s="9">
        <v>2021</v>
      </c>
      <c r="P3" s="9">
        <v>2022</v>
      </c>
      <c r="Q3" s="9">
        <v>2022</v>
      </c>
      <c r="R3" s="9">
        <v>2022</v>
      </c>
      <c r="S3" s="9">
        <v>2022</v>
      </c>
      <c r="T3" s="9">
        <v>2022</v>
      </c>
      <c r="U3" s="9">
        <v>2022</v>
      </c>
      <c r="V3" s="9">
        <v>2022</v>
      </c>
      <c r="W3" s="9">
        <v>2022</v>
      </c>
      <c r="X3" s="9">
        <v>2022</v>
      </c>
      <c r="Y3" s="9">
        <v>2022</v>
      </c>
      <c r="Z3" s="9">
        <v>2022</v>
      </c>
      <c r="AA3" s="9">
        <v>2022</v>
      </c>
      <c r="AB3" s="9">
        <v>2023</v>
      </c>
      <c r="AC3" s="9">
        <v>2023</v>
      </c>
      <c r="AD3" s="9">
        <v>2023</v>
      </c>
      <c r="AE3" s="9">
        <v>2023</v>
      </c>
      <c r="AF3" s="9">
        <v>2023</v>
      </c>
      <c r="AG3" s="9">
        <v>2023</v>
      </c>
      <c r="AH3" s="9">
        <v>2023</v>
      </c>
      <c r="AI3" s="9">
        <v>2023</v>
      </c>
      <c r="AJ3" s="9">
        <v>2023</v>
      </c>
      <c r="AK3" s="9">
        <v>2023</v>
      </c>
      <c r="AL3" s="9">
        <v>2023</v>
      </c>
      <c r="AM3" s="9">
        <v>2023</v>
      </c>
    </row>
    <row r="7" spans="1:39" x14ac:dyDescent="0.25">
      <c r="A7" s="38" t="s">
        <v>0</v>
      </c>
      <c r="B7" s="16" t="s">
        <v>107</v>
      </c>
    </row>
    <row r="8" spans="1:39" x14ac:dyDescent="0.25">
      <c r="A8" s="7" t="s">
        <v>1</v>
      </c>
      <c r="B8" s="7" t="s">
        <v>2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3">
        <v>306</v>
      </c>
      <c r="AB8" s="26">
        <f>AA8-($AA8/12)</f>
        <v>280.5</v>
      </c>
      <c r="AC8" s="26">
        <f t="shared" ref="AC8:AM8" si="0">AB8-($AA8/12)</f>
        <v>255</v>
      </c>
      <c r="AD8" s="26">
        <f t="shared" si="0"/>
        <v>229.5</v>
      </c>
      <c r="AE8" s="26">
        <f t="shared" si="0"/>
        <v>204</v>
      </c>
      <c r="AF8" s="26">
        <f t="shared" si="0"/>
        <v>178.5</v>
      </c>
      <c r="AG8" s="26">
        <f t="shared" si="0"/>
        <v>153</v>
      </c>
      <c r="AH8" s="26">
        <f t="shared" si="0"/>
        <v>127.5</v>
      </c>
      <c r="AI8" s="26">
        <f t="shared" si="0"/>
        <v>102</v>
      </c>
      <c r="AJ8" s="26">
        <f t="shared" si="0"/>
        <v>76.5</v>
      </c>
      <c r="AK8" s="26">
        <f t="shared" si="0"/>
        <v>51</v>
      </c>
      <c r="AL8" s="26">
        <f t="shared" si="0"/>
        <v>25.5</v>
      </c>
      <c r="AM8" s="21">
        <f t="shared" si="0"/>
        <v>0</v>
      </c>
    </row>
    <row r="9" spans="1:39" x14ac:dyDescent="0.25">
      <c r="A9" s="7"/>
      <c r="B9" s="7"/>
      <c r="C9" s="21"/>
      <c r="D9" s="21"/>
    </row>
    <row r="10" spans="1:39" x14ac:dyDescent="0.25">
      <c r="A10" s="7" t="s">
        <v>3</v>
      </c>
      <c r="B10" s="7" t="s">
        <v>4</v>
      </c>
      <c r="E10" s="3">
        <v>2</v>
      </c>
      <c r="F10" s="3">
        <v>40</v>
      </c>
      <c r="G10" s="3">
        <v>61</v>
      </c>
      <c r="H10" s="3">
        <v>65</v>
      </c>
      <c r="I10" s="3">
        <v>79</v>
      </c>
      <c r="J10" s="3">
        <v>90</v>
      </c>
      <c r="K10" s="3">
        <v>105</v>
      </c>
      <c r="L10" s="3">
        <v>120</v>
      </c>
      <c r="M10" s="3">
        <v>124</v>
      </c>
      <c r="N10" s="3">
        <v>122</v>
      </c>
      <c r="O10" s="3">
        <v>126</v>
      </c>
      <c r="P10" s="19">
        <f t="shared" ref="P10:AM10" si="1">+O10+P34</f>
        <v>126</v>
      </c>
      <c r="Q10" s="19">
        <f t="shared" si="1"/>
        <v>967</v>
      </c>
      <c r="R10" s="19">
        <f t="shared" si="1"/>
        <v>2649</v>
      </c>
      <c r="S10" s="19">
        <f t="shared" si="1"/>
        <v>4331</v>
      </c>
      <c r="T10" s="19">
        <f t="shared" si="1"/>
        <v>6854</v>
      </c>
      <c r="U10" s="19">
        <f t="shared" si="1"/>
        <v>8536</v>
      </c>
      <c r="V10" s="19">
        <f t="shared" si="1"/>
        <v>8980</v>
      </c>
      <c r="W10" s="19">
        <f t="shared" si="1"/>
        <v>9280</v>
      </c>
      <c r="X10" s="19">
        <f t="shared" si="1"/>
        <v>9380</v>
      </c>
      <c r="Y10" s="19">
        <f t="shared" si="1"/>
        <v>9380</v>
      </c>
      <c r="Z10" s="19">
        <f t="shared" si="1"/>
        <v>9380</v>
      </c>
      <c r="AA10" s="19">
        <f t="shared" si="1"/>
        <v>9380</v>
      </c>
      <c r="AB10" s="19">
        <f t="shared" si="1"/>
        <v>9226</v>
      </c>
      <c r="AC10" s="19">
        <f t="shared" si="1"/>
        <v>9072</v>
      </c>
      <c r="AD10" s="19">
        <f t="shared" si="1"/>
        <v>8918</v>
      </c>
      <c r="AE10" s="19">
        <f t="shared" si="1"/>
        <v>8764</v>
      </c>
      <c r="AF10" s="19">
        <f t="shared" si="1"/>
        <v>8610</v>
      </c>
      <c r="AG10" s="19">
        <f t="shared" si="1"/>
        <v>8456</v>
      </c>
      <c r="AH10" s="19">
        <f t="shared" si="1"/>
        <v>8302</v>
      </c>
      <c r="AI10" s="19">
        <f t="shared" si="1"/>
        <v>8148</v>
      </c>
      <c r="AJ10" s="19">
        <f t="shared" si="1"/>
        <v>7994</v>
      </c>
      <c r="AK10" s="19">
        <f t="shared" si="1"/>
        <v>7840</v>
      </c>
      <c r="AL10" s="19">
        <f t="shared" si="1"/>
        <v>7686</v>
      </c>
      <c r="AM10" s="19">
        <f t="shared" si="1"/>
        <v>7532</v>
      </c>
    </row>
    <row r="11" spans="1:39" x14ac:dyDescent="0.25">
      <c r="A11" s="7"/>
      <c r="B11" s="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x14ac:dyDescent="0.25">
      <c r="A12" s="7" t="s">
        <v>76</v>
      </c>
      <c r="B12" s="7" t="s">
        <v>77</v>
      </c>
      <c r="C12" s="19">
        <v>2475</v>
      </c>
      <c r="D12" s="19">
        <v>2698</v>
      </c>
      <c r="E12" s="19">
        <v>2901</v>
      </c>
      <c r="F12" s="19">
        <v>4011</v>
      </c>
      <c r="G12" s="19">
        <v>4082</v>
      </c>
      <c r="H12" s="19">
        <v>4144</v>
      </c>
      <c r="I12" s="19">
        <v>3887</v>
      </c>
      <c r="J12" s="19">
        <v>4498</v>
      </c>
      <c r="K12" s="19">
        <v>4498</v>
      </c>
      <c r="L12" s="19">
        <v>4498</v>
      </c>
      <c r="M12" s="19">
        <v>4498</v>
      </c>
      <c r="N12" s="19">
        <v>4498</v>
      </c>
      <c r="O12" s="19">
        <v>4498</v>
      </c>
      <c r="P12" s="19">
        <v>4310.58</v>
      </c>
      <c r="Q12" s="19">
        <v>4123.16</v>
      </c>
      <c r="R12" s="19">
        <v>3935.74</v>
      </c>
      <c r="S12" s="19">
        <v>3748.3199999999997</v>
      </c>
      <c r="T12" s="19">
        <v>3560.8999999999996</v>
      </c>
      <c r="U12" s="19">
        <v>3373.4799999999996</v>
      </c>
      <c r="V12" s="19">
        <v>3186.0599999999995</v>
      </c>
      <c r="W12" s="19">
        <v>2998.6399999999994</v>
      </c>
      <c r="X12" s="19">
        <v>2811.2199999999993</v>
      </c>
      <c r="Y12" s="19">
        <v>2623.7999999999993</v>
      </c>
      <c r="Z12" s="19">
        <v>2436.3799999999992</v>
      </c>
      <c r="AA12" s="19">
        <v>2248.9599999999991</v>
      </c>
      <c r="AB12" s="19">
        <v>2061.5399999999991</v>
      </c>
      <c r="AC12" s="19">
        <v>1874.119999999999</v>
      </c>
      <c r="AD12" s="19">
        <v>1686.6999999999989</v>
      </c>
      <c r="AE12" s="19">
        <v>1499.2799999999988</v>
      </c>
      <c r="AF12" s="19">
        <v>1311.8599999999988</v>
      </c>
      <c r="AG12" s="19">
        <v>1124.4399999999987</v>
      </c>
      <c r="AH12" s="19">
        <v>937.01999999999873</v>
      </c>
      <c r="AI12" s="19">
        <v>749.59999999999877</v>
      </c>
      <c r="AJ12" s="19">
        <v>562.17999999999881</v>
      </c>
      <c r="AK12" s="19">
        <v>374.75999999999885</v>
      </c>
      <c r="AL12" s="19">
        <v>187.33999999999887</v>
      </c>
      <c r="AM12" s="19">
        <v>0</v>
      </c>
    </row>
    <row r="13" spans="1:39" x14ac:dyDescent="0.25">
      <c r="A13" s="7"/>
      <c r="B13" s="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x14ac:dyDescent="0.25">
      <c r="A14" s="7"/>
      <c r="B14" s="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x14ac:dyDescent="0.25">
      <c r="A15" s="7"/>
      <c r="B15" s="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x14ac:dyDescent="0.25">
      <c r="A16" s="15" t="s">
        <v>62</v>
      </c>
      <c r="B16" s="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1:39" x14ac:dyDescent="0.25">
      <c r="A17" s="7" t="s">
        <v>32</v>
      </c>
      <c r="B17" s="7" t="s">
        <v>33</v>
      </c>
      <c r="C17" s="12">
        <v>-8435</v>
      </c>
      <c r="D17" s="12">
        <v>-9616</v>
      </c>
      <c r="E17" s="12">
        <v>-10373</v>
      </c>
      <c r="F17" s="12">
        <v>-10676</v>
      </c>
      <c r="G17" s="12">
        <v>-11132</v>
      </c>
      <c r="H17" s="12">
        <v>-11195</v>
      </c>
      <c r="I17" s="12">
        <v>-11062</v>
      </c>
      <c r="J17" s="12">
        <v>-10140</v>
      </c>
      <c r="K17" s="12">
        <v>-10202</v>
      </c>
      <c r="L17" s="12">
        <v>-9820</v>
      </c>
      <c r="M17" s="12">
        <v>-9639</v>
      </c>
      <c r="N17" s="12">
        <v>-9875</v>
      </c>
      <c r="O17" s="12">
        <v>-10701</v>
      </c>
      <c r="P17" s="12">
        <v>-12025.049713287801</v>
      </c>
      <c r="Q17" s="12">
        <v>-11357.147370107894</v>
      </c>
      <c r="R17" s="12">
        <v>-10691.618539294122</v>
      </c>
      <c r="S17" s="12">
        <v>-10028.463220846486</v>
      </c>
      <c r="T17" s="12">
        <v>-9366.6814147649857</v>
      </c>
      <c r="U17" s="12">
        <v>-8707.2731210496204</v>
      </c>
      <c r="V17" s="12">
        <v>-8050.2383397003905</v>
      </c>
      <c r="W17" s="12">
        <v>-7395.577070717296</v>
      </c>
      <c r="X17" s="12">
        <v>-6743.2893141003369</v>
      </c>
      <c r="Y17" s="12">
        <v>-6093.3750698495123</v>
      </c>
      <c r="Z17" s="12">
        <v>-5445.8343379648231</v>
      </c>
      <c r="AA17" s="12">
        <v>-4800.6671184462684</v>
      </c>
      <c r="AB17" s="12">
        <f>AA17-($AA17/12)</f>
        <v>-4400.6115252424124</v>
      </c>
      <c r="AC17" s="12">
        <f t="shared" ref="AC17:AM17" si="2">AB17-($AA17/12)</f>
        <v>-4000.5559320385569</v>
      </c>
      <c r="AD17" s="12">
        <f t="shared" si="2"/>
        <v>-3600.5003388347013</v>
      </c>
      <c r="AE17" s="12">
        <f t="shared" si="2"/>
        <v>-3200.4447456308458</v>
      </c>
      <c r="AF17" s="12">
        <f t="shared" si="2"/>
        <v>-2800.3891524269902</v>
      </c>
      <c r="AG17" s="12">
        <f t="shared" si="2"/>
        <v>-2400.3335592231347</v>
      </c>
      <c r="AH17" s="12">
        <f t="shared" si="2"/>
        <v>-2000.2779660192789</v>
      </c>
      <c r="AI17" s="12">
        <f t="shared" si="2"/>
        <v>-1600.2223728154231</v>
      </c>
      <c r="AJ17" s="12">
        <f t="shared" si="2"/>
        <v>-1200.1667796115673</v>
      </c>
      <c r="AK17" s="12">
        <f t="shared" si="2"/>
        <v>-800.11118640771156</v>
      </c>
      <c r="AL17" s="12">
        <f t="shared" si="2"/>
        <v>-400.05559320385584</v>
      </c>
      <c r="AM17" s="21">
        <f t="shared" si="2"/>
        <v>0</v>
      </c>
    </row>
    <row r="18" spans="1:39" x14ac:dyDescent="0.25">
      <c r="A18" s="7" t="s">
        <v>63</v>
      </c>
      <c r="B18" s="7">
        <v>26002530</v>
      </c>
      <c r="C18" s="12">
        <v>-2554</v>
      </c>
      <c r="D18" s="14">
        <v>-3776</v>
      </c>
      <c r="E18" s="14">
        <v>-4958</v>
      </c>
      <c r="F18" s="14">
        <v>-3662</v>
      </c>
      <c r="G18" s="14">
        <v>-4029</v>
      </c>
      <c r="H18" s="14">
        <v>-3553.01</v>
      </c>
      <c r="I18" s="14">
        <v>-5116</v>
      </c>
      <c r="J18" s="14">
        <v>-5402</v>
      </c>
      <c r="K18" s="14">
        <v>-4053</v>
      </c>
      <c r="L18" s="14">
        <v>-5708</v>
      </c>
      <c r="M18" s="14">
        <v>-6006</v>
      </c>
      <c r="N18" s="14">
        <v>-5191</v>
      </c>
      <c r="O18" s="14">
        <v>-5246</v>
      </c>
      <c r="P18" s="14">
        <v>-6375.1541149755039</v>
      </c>
      <c r="Q18" s="14">
        <v>-6238.9427669060678</v>
      </c>
      <c r="R18" s="14">
        <v>-5929.5984872111121</v>
      </c>
      <c r="S18" s="14">
        <v>-5610.4573277105128</v>
      </c>
      <c r="T18" s="14">
        <v>-4794.7551137320916</v>
      </c>
      <c r="U18" s="14">
        <v>-3699.7601717967868</v>
      </c>
      <c r="V18" s="14">
        <v>-3032.2074280238185</v>
      </c>
      <c r="W18" s="14">
        <v>-2364.615745173428</v>
      </c>
      <c r="X18" s="14">
        <v>-1696.9851206105943</v>
      </c>
      <c r="Y18" s="14">
        <v>-1029.3155520637945</v>
      </c>
      <c r="Z18" s="14">
        <v>-361.60703726136228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</row>
    <row r="19" spans="1:39" x14ac:dyDescent="0.25">
      <c r="A19" s="7"/>
      <c r="B19" s="7"/>
      <c r="C19" s="24">
        <f>SUM(C17:C18)</f>
        <v>-10989</v>
      </c>
      <c r="D19" s="24">
        <f t="shared" ref="D19:AM19" si="3">SUM(D17:D18)</f>
        <v>-13392</v>
      </c>
      <c r="E19" s="24">
        <f t="shared" si="3"/>
        <v>-15331</v>
      </c>
      <c r="F19" s="24">
        <f t="shared" si="3"/>
        <v>-14338</v>
      </c>
      <c r="G19" s="24">
        <f t="shared" si="3"/>
        <v>-15161</v>
      </c>
      <c r="H19" s="24">
        <f t="shared" si="3"/>
        <v>-14748.01</v>
      </c>
      <c r="I19" s="24">
        <f t="shared" si="3"/>
        <v>-16178</v>
      </c>
      <c r="J19" s="24">
        <f t="shared" si="3"/>
        <v>-15542</v>
      </c>
      <c r="K19" s="24">
        <f t="shared" si="3"/>
        <v>-14255</v>
      </c>
      <c r="L19" s="24">
        <f t="shared" si="3"/>
        <v>-15528</v>
      </c>
      <c r="M19" s="24">
        <f t="shared" si="3"/>
        <v>-15645</v>
      </c>
      <c r="N19" s="24">
        <f t="shared" si="3"/>
        <v>-15066</v>
      </c>
      <c r="O19" s="24">
        <f t="shared" si="3"/>
        <v>-15947</v>
      </c>
      <c r="P19" s="24">
        <f t="shared" si="3"/>
        <v>-18400.203828263304</v>
      </c>
      <c r="Q19" s="24">
        <f t="shared" si="3"/>
        <v>-17596.090137013962</v>
      </c>
      <c r="R19" s="24">
        <f t="shared" si="3"/>
        <v>-16621.217026505234</v>
      </c>
      <c r="S19" s="24">
        <f t="shared" si="3"/>
        <v>-15638.920548556998</v>
      </c>
      <c r="T19" s="24">
        <f t="shared" si="3"/>
        <v>-14161.436528497077</v>
      </c>
      <c r="U19" s="24">
        <f t="shared" si="3"/>
        <v>-12407.033292846407</v>
      </c>
      <c r="V19" s="24">
        <f t="shared" si="3"/>
        <v>-11082.44576772421</v>
      </c>
      <c r="W19" s="24">
        <f t="shared" si="3"/>
        <v>-9760.1928158907249</v>
      </c>
      <c r="X19" s="24">
        <f t="shared" si="3"/>
        <v>-8440.274434710931</v>
      </c>
      <c r="Y19" s="24">
        <f t="shared" si="3"/>
        <v>-7122.690621913307</v>
      </c>
      <c r="Z19" s="24">
        <f t="shared" si="3"/>
        <v>-5807.4413752261853</v>
      </c>
      <c r="AA19" s="24">
        <f t="shared" si="3"/>
        <v>-4800.6671184462684</v>
      </c>
      <c r="AB19" s="24">
        <f t="shared" si="3"/>
        <v>-4400.6115252424124</v>
      </c>
      <c r="AC19" s="24">
        <f t="shared" si="3"/>
        <v>-4000.5559320385569</v>
      </c>
      <c r="AD19" s="24">
        <f t="shared" si="3"/>
        <v>-3600.5003388347013</v>
      </c>
      <c r="AE19" s="24">
        <f t="shared" si="3"/>
        <v>-3200.4447456308458</v>
      </c>
      <c r="AF19" s="24">
        <f t="shared" si="3"/>
        <v>-2800.3891524269902</v>
      </c>
      <c r="AG19" s="24">
        <f t="shared" si="3"/>
        <v>-2400.3335592231347</v>
      </c>
      <c r="AH19" s="24">
        <f t="shared" si="3"/>
        <v>-2000.2779660192789</v>
      </c>
      <c r="AI19" s="24">
        <f t="shared" si="3"/>
        <v>-1600.2223728154231</v>
      </c>
      <c r="AJ19" s="24">
        <f t="shared" si="3"/>
        <v>-1200.1667796115673</v>
      </c>
      <c r="AK19" s="24">
        <f t="shared" si="3"/>
        <v>-800.11118640771156</v>
      </c>
      <c r="AL19" s="24">
        <f t="shared" si="3"/>
        <v>-400.05559320385584</v>
      </c>
      <c r="AM19" s="40">
        <f t="shared" si="3"/>
        <v>0</v>
      </c>
    </row>
    <row r="20" spans="1:39" x14ac:dyDescent="0.25">
      <c r="A20" s="7"/>
      <c r="B20" s="7"/>
      <c r="C20" s="1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39" x14ac:dyDescent="0.25">
      <c r="A21" s="7"/>
      <c r="B21" s="7"/>
      <c r="C21" s="1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39" x14ac:dyDescent="0.25">
      <c r="A22" s="7" t="s">
        <v>64</v>
      </c>
      <c r="B22" s="7" t="s">
        <v>65</v>
      </c>
      <c r="C22" s="14">
        <v>-52655.083333333321</v>
      </c>
      <c r="D22" s="14">
        <f>C22-D30+2</f>
        <v>-52219.499999999985</v>
      </c>
      <c r="E22" s="14">
        <f>D22-E30</f>
        <v>-51785.91666666665</v>
      </c>
      <c r="F22" s="14">
        <f>E22-F30+1</f>
        <v>-51351.333333333314</v>
      </c>
      <c r="G22" s="14">
        <f>F22-G30+1</f>
        <v>-50916.749999999978</v>
      </c>
      <c r="H22" s="14">
        <f>G22-H30+1</f>
        <v>-50482.166666666642</v>
      </c>
      <c r="I22" s="14">
        <f>H22-I30+2</f>
        <v>-50046.583333333307</v>
      </c>
      <c r="J22" s="14">
        <f>I22-J30+1</f>
        <v>-49611.999999999971</v>
      </c>
      <c r="K22" s="14">
        <f>J22-K30+1</f>
        <v>-49177.416666666635</v>
      </c>
      <c r="L22" s="14">
        <f>K22-L30+16160</f>
        <v>-32583.833333333299</v>
      </c>
      <c r="M22" s="14">
        <f>L22-M30+1</f>
        <v>-32149.249999999967</v>
      </c>
      <c r="N22" s="14">
        <f>M22-N30+2</f>
        <v>-31713.666666666635</v>
      </c>
      <c r="O22" s="14">
        <f>N22-O30+1</f>
        <v>-31279.083333333303</v>
      </c>
      <c r="P22" s="14">
        <f t="shared" ref="P22:AM22" si="4">O22-P30</f>
        <v>-30845.499999999971</v>
      </c>
      <c r="Q22" s="14">
        <f t="shared" si="4"/>
        <v>-30411.916666666639</v>
      </c>
      <c r="R22" s="14">
        <f t="shared" si="4"/>
        <v>-29978.333333333307</v>
      </c>
      <c r="S22" s="14">
        <f t="shared" si="4"/>
        <v>-29544.749999999975</v>
      </c>
      <c r="T22" s="14">
        <f t="shared" si="4"/>
        <v>-29111.166666666642</v>
      </c>
      <c r="U22" s="14">
        <f t="shared" si="4"/>
        <v>-28677.58333333331</v>
      </c>
      <c r="V22" s="14">
        <f t="shared" si="4"/>
        <v>-28243.999999999978</v>
      </c>
      <c r="W22" s="14">
        <f t="shared" si="4"/>
        <v>-27810.416666666646</v>
      </c>
      <c r="X22" s="14">
        <f t="shared" si="4"/>
        <v>-27376.833333333314</v>
      </c>
      <c r="Y22" s="14">
        <f t="shared" si="4"/>
        <v>-26943.249999999982</v>
      </c>
      <c r="Z22" s="14">
        <f t="shared" si="4"/>
        <v>-26509.66666666665</v>
      </c>
      <c r="AA22" s="14">
        <f t="shared" si="4"/>
        <v>-26076.083333333318</v>
      </c>
      <c r="AB22" s="14">
        <f t="shared" si="4"/>
        <v>-25642.499999999985</v>
      </c>
      <c r="AC22" s="14">
        <f t="shared" si="4"/>
        <v>-25208.916666666653</v>
      </c>
      <c r="AD22" s="14">
        <f t="shared" si="4"/>
        <v>-24775.333333333321</v>
      </c>
      <c r="AE22" s="14">
        <f t="shared" si="4"/>
        <v>-24341.749999999989</v>
      </c>
      <c r="AF22" s="14">
        <f t="shared" si="4"/>
        <v>-23908.166666666657</v>
      </c>
      <c r="AG22" s="14">
        <f t="shared" si="4"/>
        <v>-23474.583333333325</v>
      </c>
      <c r="AH22" s="14">
        <f t="shared" si="4"/>
        <v>-23040.999999999993</v>
      </c>
      <c r="AI22" s="14">
        <f t="shared" si="4"/>
        <v>-22607.416666666661</v>
      </c>
      <c r="AJ22" s="14">
        <f t="shared" si="4"/>
        <v>-22173.833333333328</v>
      </c>
      <c r="AK22" s="14">
        <f t="shared" si="4"/>
        <v>-21740.249999999996</v>
      </c>
      <c r="AL22" s="14">
        <f t="shared" si="4"/>
        <v>-21306.666666666664</v>
      </c>
      <c r="AM22" s="14">
        <f t="shared" si="4"/>
        <v>-20873.083333333332</v>
      </c>
    </row>
    <row r="23" spans="1:39" x14ac:dyDescent="0.25">
      <c r="A23" s="7" t="s">
        <v>66</v>
      </c>
      <c r="B23" s="7" t="s">
        <v>67</v>
      </c>
      <c r="C23" s="14">
        <v>-42990.25</v>
      </c>
      <c r="D23" s="14">
        <f>C23-D31+18.5</f>
        <v>-42889</v>
      </c>
      <c r="E23" s="14">
        <f>D23-E31+18</f>
        <v>-42788.25</v>
      </c>
      <c r="F23" s="14">
        <f>E23-F31+19</f>
        <v>-42686.5</v>
      </c>
      <c r="G23" s="14">
        <f>F23-G31+18</f>
        <v>-42585.75</v>
      </c>
      <c r="H23" s="14">
        <f>G23-H31+18</f>
        <v>-42485</v>
      </c>
      <c r="I23" s="14">
        <f>H23-I31+18</f>
        <v>-42384.25</v>
      </c>
      <c r="J23" s="14">
        <f>I23-J31+19</f>
        <v>-42282.5</v>
      </c>
      <c r="K23" s="14">
        <f>J23-K31+18</f>
        <v>-42181.75</v>
      </c>
      <c r="L23" s="14">
        <f>K23-L31+18</f>
        <v>-42081</v>
      </c>
      <c r="M23" s="14">
        <f>L23-M31+18</f>
        <v>-41980.25</v>
      </c>
      <c r="N23" s="14">
        <f>M23-N31+19</f>
        <v>-41878.5</v>
      </c>
      <c r="O23" s="14">
        <f>N23-O31+18</f>
        <v>-41777.75</v>
      </c>
      <c r="P23" s="14">
        <f t="shared" ref="P23:AM23" si="5">O23-P31</f>
        <v>-41695</v>
      </c>
      <c r="Q23" s="14">
        <f t="shared" si="5"/>
        <v>-41612.25</v>
      </c>
      <c r="R23" s="14">
        <f t="shared" si="5"/>
        <v>-41529.5</v>
      </c>
      <c r="S23" s="14">
        <f t="shared" si="5"/>
        <v>-41446.75</v>
      </c>
      <c r="T23" s="14">
        <f t="shared" si="5"/>
        <v>-41364</v>
      </c>
      <c r="U23" s="14">
        <f t="shared" si="5"/>
        <v>-41281.25</v>
      </c>
      <c r="V23" s="14">
        <f t="shared" si="5"/>
        <v>-41198.5</v>
      </c>
      <c r="W23" s="14">
        <f t="shared" si="5"/>
        <v>-41115.75</v>
      </c>
      <c r="X23" s="14">
        <f t="shared" si="5"/>
        <v>-41033</v>
      </c>
      <c r="Y23" s="14">
        <f t="shared" si="5"/>
        <v>-40950.25</v>
      </c>
      <c r="Z23" s="14">
        <f t="shared" si="5"/>
        <v>-40867.5</v>
      </c>
      <c r="AA23" s="14">
        <f t="shared" si="5"/>
        <v>-40784.75</v>
      </c>
      <c r="AB23" s="14">
        <f t="shared" si="5"/>
        <v>-40702</v>
      </c>
      <c r="AC23" s="14">
        <f t="shared" si="5"/>
        <v>-40619.25</v>
      </c>
      <c r="AD23" s="14">
        <f t="shared" si="5"/>
        <v>-40536.5</v>
      </c>
      <c r="AE23" s="14">
        <f t="shared" si="5"/>
        <v>-40453.75</v>
      </c>
      <c r="AF23" s="14">
        <f t="shared" si="5"/>
        <v>-40371</v>
      </c>
      <c r="AG23" s="14">
        <f t="shared" si="5"/>
        <v>-40288.25</v>
      </c>
      <c r="AH23" s="14">
        <f t="shared" si="5"/>
        <v>-40205.5</v>
      </c>
      <c r="AI23" s="14">
        <f t="shared" si="5"/>
        <v>-40122.75</v>
      </c>
      <c r="AJ23" s="14">
        <f t="shared" si="5"/>
        <v>-40040</v>
      </c>
      <c r="AK23" s="14">
        <f t="shared" si="5"/>
        <v>-39957.25</v>
      </c>
      <c r="AL23" s="14">
        <f t="shared" si="5"/>
        <v>-39874.5</v>
      </c>
      <c r="AM23" s="14">
        <f t="shared" si="5"/>
        <v>-39791.75</v>
      </c>
    </row>
    <row r="24" spans="1:39" x14ac:dyDescent="0.25">
      <c r="A24" s="7"/>
      <c r="B24" s="7"/>
      <c r="C24" s="41">
        <f>SUM(C22:C23)</f>
        <v>-95645.333333333314</v>
      </c>
      <c r="D24" s="41">
        <f t="shared" ref="D24:AM24" si="6">SUM(D22:D23)</f>
        <v>-95108.499999999985</v>
      </c>
      <c r="E24" s="41">
        <f t="shared" si="6"/>
        <v>-94574.166666666657</v>
      </c>
      <c r="F24" s="41">
        <f t="shared" si="6"/>
        <v>-94037.833333333314</v>
      </c>
      <c r="G24" s="41">
        <f t="shared" si="6"/>
        <v>-93502.499999999971</v>
      </c>
      <c r="H24" s="41">
        <f t="shared" si="6"/>
        <v>-92967.166666666642</v>
      </c>
      <c r="I24" s="41">
        <f t="shared" si="6"/>
        <v>-92430.833333333314</v>
      </c>
      <c r="J24" s="41">
        <f t="shared" si="6"/>
        <v>-91894.499999999971</v>
      </c>
      <c r="K24" s="41">
        <f t="shared" si="6"/>
        <v>-91359.166666666628</v>
      </c>
      <c r="L24" s="41">
        <f t="shared" si="6"/>
        <v>-74664.833333333299</v>
      </c>
      <c r="M24" s="41">
        <f t="shared" si="6"/>
        <v>-74129.499999999971</v>
      </c>
      <c r="N24" s="41">
        <f t="shared" si="6"/>
        <v>-73592.166666666628</v>
      </c>
      <c r="O24" s="41">
        <f t="shared" si="6"/>
        <v>-73056.833333333299</v>
      </c>
      <c r="P24" s="41">
        <f t="shared" si="6"/>
        <v>-72540.499999999971</v>
      </c>
      <c r="Q24" s="41">
        <f t="shared" si="6"/>
        <v>-72024.166666666642</v>
      </c>
      <c r="R24" s="41">
        <f t="shared" si="6"/>
        <v>-71507.833333333314</v>
      </c>
      <c r="S24" s="41">
        <f t="shared" si="6"/>
        <v>-70991.499999999971</v>
      </c>
      <c r="T24" s="41">
        <f t="shared" si="6"/>
        <v>-70475.166666666642</v>
      </c>
      <c r="U24" s="41">
        <f t="shared" si="6"/>
        <v>-69958.833333333314</v>
      </c>
      <c r="V24" s="41">
        <f t="shared" si="6"/>
        <v>-69442.499999999971</v>
      </c>
      <c r="W24" s="41">
        <f t="shared" si="6"/>
        <v>-68926.166666666642</v>
      </c>
      <c r="X24" s="41">
        <f t="shared" si="6"/>
        <v>-68409.833333333314</v>
      </c>
      <c r="Y24" s="41">
        <f t="shared" si="6"/>
        <v>-67893.499999999985</v>
      </c>
      <c r="Z24" s="41">
        <f t="shared" si="6"/>
        <v>-67377.166666666657</v>
      </c>
      <c r="AA24" s="41">
        <f t="shared" si="6"/>
        <v>-66860.833333333314</v>
      </c>
      <c r="AB24" s="41">
        <f t="shared" si="6"/>
        <v>-66344.499999999985</v>
      </c>
      <c r="AC24" s="41">
        <f t="shared" si="6"/>
        <v>-65828.166666666657</v>
      </c>
      <c r="AD24" s="41">
        <f t="shared" si="6"/>
        <v>-65311.833333333321</v>
      </c>
      <c r="AE24" s="41">
        <f t="shared" si="6"/>
        <v>-64795.499999999985</v>
      </c>
      <c r="AF24" s="41">
        <f t="shared" si="6"/>
        <v>-64279.166666666657</v>
      </c>
      <c r="AG24" s="41">
        <f t="shared" si="6"/>
        <v>-63762.833333333328</v>
      </c>
      <c r="AH24" s="41">
        <f t="shared" si="6"/>
        <v>-63246.499999999993</v>
      </c>
      <c r="AI24" s="41">
        <f t="shared" si="6"/>
        <v>-62730.166666666657</v>
      </c>
      <c r="AJ24" s="41">
        <f t="shared" si="6"/>
        <v>-62213.833333333328</v>
      </c>
      <c r="AK24" s="41">
        <f t="shared" si="6"/>
        <v>-61697.5</v>
      </c>
      <c r="AL24" s="41">
        <f t="shared" si="6"/>
        <v>-61181.166666666664</v>
      </c>
      <c r="AM24" s="41">
        <f t="shared" si="6"/>
        <v>-60664.833333333328</v>
      </c>
    </row>
    <row r="25" spans="1:39" x14ac:dyDescent="0.25">
      <c r="A25" s="7"/>
    </row>
    <row r="29" spans="1:39" x14ac:dyDescent="0.25">
      <c r="A29" s="3" t="s">
        <v>68</v>
      </c>
      <c r="B29" s="16"/>
      <c r="C29" s="14">
        <v>3966.2777777777778</v>
      </c>
      <c r="D29" s="14">
        <f t="shared" ref="D29:G29" si="7">713930/15/12</f>
        <v>3966.2777777777778</v>
      </c>
      <c r="E29" s="14">
        <f t="shared" si="7"/>
        <v>3966.2777777777778</v>
      </c>
      <c r="F29" s="14">
        <f t="shared" si="7"/>
        <v>3966.2777777777778</v>
      </c>
      <c r="G29" s="14">
        <f t="shared" si="7"/>
        <v>3966.2777777777778</v>
      </c>
      <c r="H29" s="14">
        <f t="shared" ref="H29:AM29" si="8">713930/15/12</f>
        <v>3966.2777777777778</v>
      </c>
      <c r="I29" s="14">
        <f t="shared" si="8"/>
        <v>3966.2777777777778</v>
      </c>
      <c r="J29" s="14">
        <f t="shared" si="8"/>
        <v>3966.2777777777778</v>
      </c>
      <c r="K29" s="14">
        <f t="shared" si="8"/>
        <v>3966.2777777777778</v>
      </c>
      <c r="L29" s="14">
        <f t="shared" si="8"/>
        <v>3966.2777777777778</v>
      </c>
      <c r="M29" s="14">
        <f t="shared" si="8"/>
        <v>3966.2777777777778</v>
      </c>
      <c r="N29" s="14">
        <f t="shared" si="8"/>
        <v>3966.2777777777778</v>
      </c>
      <c r="O29" s="14">
        <f t="shared" si="8"/>
        <v>3966.2777777777778</v>
      </c>
      <c r="P29" s="14">
        <f t="shared" si="8"/>
        <v>3966.2777777777778</v>
      </c>
      <c r="Q29" s="14">
        <f t="shared" si="8"/>
        <v>3966.2777777777778</v>
      </c>
      <c r="R29" s="14">
        <f t="shared" si="8"/>
        <v>3966.2777777777778</v>
      </c>
      <c r="S29" s="14">
        <f t="shared" si="8"/>
        <v>3966.2777777777778</v>
      </c>
      <c r="T29" s="14">
        <f t="shared" si="8"/>
        <v>3966.2777777777778</v>
      </c>
      <c r="U29" s="14">
        <f t="shared" si="8"/>
        <v>3966.2777777777778</v>
      </c>
      <c r="V29" s="14">
        <f t="shared" si="8"/>
        <v>3966.2777777777778</v>
      </c>
      <c r="W29" s="14">
        <f t="shared" si="8"/>
        <v>3966.2777777777778</v>
      </c>
      <c r="X29" s="14">
        <f t="shared" si="8"/>
        <v>3966.2777777777778</v>
      </c>
      <c r="Y29" s="14">
        <f t="shared" si="8"/>
        <v>3966.2777777777778</v>
      </c>
      <c r="Z29" s="14">
        <f t="shared" si="8"/>
        <v>3966.2777777777778</v>
      </c>
      <c r="AA29" s="14">
        <f t="shared" si="8"/>
        <v>3966.2777777777778</v>
      </c>
      <c r="AB29" s="14">
        <f t="shared" si="8"/>
        <v>3966.2777777777778</v>
      </c>
      <c r="AC29" s="14">
        <f t="shared" si="8"/>
        <v>3966.2777777777778</v>
      </c>
      <c r="AD29" s="14">
        <f t="shared" si="8"/>
        <v>3966.2777777777778</v>
      </c>
      <c r="AE29" s="14">
        <f t="shared" si="8"/>
        <v>3966.2777777777778</v>
      </c>
      <c r="AF29" s="14">
        <f t="shared" si="8"/>
        <v>3966.2777777777778</v>
      </c>
      <c r="AG29" s="14">
        <f t="shared" si="8"/>
        <v>3966.2777777777778</v>
      </c>
      <c r="AH29" s="14">
        <f t="shared" si="8"/>
        <v>3966.2777777777778</v>
      </c>
      <c r="AI29" s="14">
        <f t="shared" si="8"/>
        <v>3966.2777777777778</v>
      </c>
      <c r="AJ29" s="14">
        <f t="shared" si="8"/>
        <v>3966.2777777777778</v>
      </c>
      <c r="AK29" s="14">
        <f t="shared" si="8"/>
        <v>3966.2777777777778</v>
      </c>
      <c r="AL29" s="14">
        <f t="shared" si="8"/>
        <v>3966.2777777777778</v>
      </c>
      <c r="AM29" s="14">
        <f t="shared" si="8"/>
        <v>3966.2777777777778</v>
      </c>
    </row>
    <row r="30" spans="1:39" x14ac:dyDescent="0.25">
      <c r="A30" s="7" t="s">
        <v>72</v>
      </c>
      <c r="B30" s="16"/>
      <c r="C30" s="14">
        <v>-433.58333333333331</v>
      </c>
      <c r="D30" s="14">
        <f t="shared" ref="D30:AM30" si="9">-5203/12</f>
        <v>-433.58333333333331</v>
      </c>
      <c r="E30" s="14">
        <f t="shared" si="9"/>
        <v>-433.58333333333331</v>
      </c>
      <c r="F30" s="14">
        <f t="shared" si="9"/>
        <v>-433.58333333333331</v>
      </c>
      <c r="G30" s="14">
        <f t="shared" si="9"/>
        <v>-433.58333333333331</v>
      </c>
      <c r="H30" s="14">
        <f t="shared" si="9"/>
        <v>-433.58333333333331</v>
      </c>
      <c r="I30" s="14">
        <f t="shared" si="9"/>
        <v>-433.58333333333331</v>
      </c>
      <c r="J30" s="14">
        <f t="shared" si="9"/>
        <v>-433.58333333333331</v>
      </c>
      <c r="K30" s="14">
        <f t="shared" si="9"/>
        <v>-433.58333333333331</v>
      </c>
      <c r="L30" s="14">
        <f t="shared" si="9"/>
        <v>-433.58333333333331</v>
      </c>
      <c r="M30" s="14">
        <f t="shared" si="9"/>
        <v>-433.58333333333331</v>
      </c>
      <c r="N30" s="14">
        <f t="shared" si="9"/>
        <v>-433.58333333333331</v>
      </c>
      <c r="O30" s="14">
        <f t="shared" si="9"/>
        <v>-433.58333333333331</v>
      </c>
      <c r="P30" s="14">
        <f t="shared" si="9"/>
        <v>-433.58333333333331</v>
      </c>
      <c r="Q30" s="14">
        <f t="shared" si="9"/>
        <v>-433.58333333333331</v>
      </c>
      <c r="R30" s="14">
        <f t="shared" si="9"/>
        <v>-433.58333333333331</v>
      </c>
      <c r="S30" s="14">
        <f t="shared" si="9"/>
        <v>-433.58333333333331</v>
      </c>
      <c r="T30" s="14">
        <f t="shared" si="9"/>
        <v>-433.58333333333331</v>
      </c>
      <c r="U30" s="14">
        <f t="shared" si="9"/>
        <v>-433.58333333333331</v>
      </c>
      <c r="V30" s="14">
        <f t="shared" si="9"/>
        <v>-433.58333333333331</v>
      </c>
      <c r="W30" s="14">
        <f t="shared" si="9"/>
        <v>-433.58333333333331</v>
      </c>
      <c r="X30" s="14">
        <f t="shared" si="9"/>
        <v>-433.58333333333331</v>
      </c>
      <c r="Y30" s="14">
        <f t="shared" si="9"/>
        <v>-433.58333333333331</v>
      </c>
      <c r="Z30" s="14">
        <f t="shared" si="9"/>
        <v>-433.58333333333331</v>
      </c>
      <c r="AA30" s="14">
        <f t="shared" si="9"/>
        <v>-433.58333333333331</v>
      </c>
      <c r="AB30" s="14">
        <f t="shared" si="9"/>
        <v>-433.58333333333331</v>
      </c>
      <c r="AC30" s="14">
        <f t="shared" si="9"/>
        <v>-433.58333333333331</v>
      </c>
      <c r="AD30" s="14">
        <f t="shared" si="9"/>
        <v>-433.58333333333331</v>
      </c>
      <c r="AE30" s="14">
        <f t="shared" si="9"/>
        <v>-433.58333333333331</v>
      </c>
      <c r="AF30" s="14">
        <f t="shared" si="9"/>
        <v>-433.58333333333331</v>
      </c>
      <c r="AG30" s="14">
        <f t="shared" si="9"/>
        <v>-433.58333333333331</v>
      </c>
      <c r="AH30" s="14">
        <f t="shared" si="9"/>
        <v>-433.58333333333331</v>
      </c>
      <c r="AI30" s="14">
        <f t="shared" si="9"/>
        <v>-433.58333333333331</v>
      </c>
      <c r="AJ30" s="14">
        <f t="shared" si="9"/>
        <v>-433.58333333333331</v>
      </c>
      <c r="AK30" s="14">
        <f t="shared" si="9"/>
        <v>-433.58333333333331</v>
      </c>
      <c r="AL30" s="14">
        <f t="shared" si="9"/>
        <v>-433.58333333333331</v>
      </c>
      <c r="AM30" s="14">
        <f t="shared" si="9"/>
        <v>-433.58333333333331</v>
      </c>
    </row>
    <row r="31" spans="1:39" x14ac:dyDescent="0.25">
      <c r="A31" s="7" t="s">
        <v>70</v>
      </c>
      <c r="B31" s="16"/>
      <c r="C31" s="14">
        <v>-82.75</v>
      </c>
      <c r="D31" s="14">
        <f t="shared" ref="D31:AM31" si="10">-993/12</f>
        <v>-82.75</v>
      </c>
      <c r="E31" s="14">
        <f t="shared" si="10"/>
        <v>-82.75</v>
      </c>
      <c r="F31" s="14">
        <f t="shared" si="10"/>
        <v>-82.75</v>
      </c>
      <c r="G31" s="14">
        <f t="shared" si="10"/>
        <v>-82.75</v>
      </c>
      <c r="H31" s="14">
        <f t="shared" si="10"/>
        <v>-82.75</v>
      </c>
      <c r="I31" s="14">
        <f t="shared" si="10"/>
        <v>-82.75</v>
      </c>
      <c r="J31" s="14">
        <f t="shared" si="10"/>
        <v>-82.75</v>
      </c>
      <c r="K31" s="14">
        <f t="shared" si="10"/>
        <v>-82.75</v>
      </c>
      <c r="L31" s="14">
        <f t="shared" si="10"/>
        <v>-82.75</v>
      </c>
      <c r="M31" s="14">
        <f t="shared" si="10"/>
        <v>-82.75</v>
      </c>
      <c r="N31" s="14">
        <f t="shared" si="10"/>
        <v>-82.75</v>
      </c>
      <c r="O31" s="14">
        <f t="shared" si="10"/>
        <v>-82.75</v>
      </c>
      <c r="P31" s="14">
        <f t="shared" si="10"/>
        <v>-82.75</v>
      </c>
      <c r="Q31" s="14">
        <f t="shared" si="10"/>
        <v>-82.75</v>
      </c>
      <c r="R31" s="14">
        <f t="shared" si="10"/>
        <v>-82.75</v>
      </c>
      <c r="S31" s="14">
        <f t="shared" si="10"/>
        <v>-82.75</v>
      </c>
      <c r="T31" s="14">
        <f t="shared" si="10"/>
        <v>-82.75</v>
      </c>
      <c r="U31" s="14">
        <f t="shared" si="10"/>
        <v>-82.75</v>
      </c>
      <c r="V31" s="14">
        <f t="shared" si="10"/>
        <v>-82.75</v>
      </c>
      <c r="W31" s="14">
        <f t="shared" si="10"/>
        <v>-82.75</v>
      </c>
      <c r="X31" s="14">
        <f t="shared" si="10"/>
        <v>-82.75</v>
      </c>
      <c r="Y31" s="14">
        <f t="shared" si="10"/>
        <v>-82.75</v>
      </c>
      <c r="Z31" s="14">
        <f t="shared" si="10"/>
        <v>-82.75</v>
      </c>
      <c r="AA31" s="14">
        <f t="shared" si="10"/>
        <v>-82.75</v>
      </c>
      <c r="AB31" s="14">
        <f t="shared" si="10"/>
        <v>-82.75</v>
      </c>
      <c r="AC31" s="14">
        <f t="shared" si="10"/>
        <v>-82.75</v>
      </c>
      <c r="AD31" s="14">
        <f t="shared" si="10"/>
        <v>-82.75</v>
      </c>
      <c r="AE31" s="14">
        <f t="shared" si="10"/>
        <v>-82.75</v>
      </c>
      <c r="AF31" s="14">
        <f t="shared" si="10"/>
        <v>-82.75</v>
      </c>
      <c r="AG31" s="14">
        <f t="shared" si="10"/>
        <v>-82.75</v>
      </c>
      <c r="AH31" s="14">
        <f t="shared" si="10"/>
        <v>-82.75</v>
      </c>
      <c r="AI31" s="14">
        <f t="shared" si="10"/>
        <v>-82.75</v>
      </c>
      <c r="AJ31" s="14">
        <f t="shared" si="10"/>
        <v>-82.75</v>
      </c>
      <c r="AK31" s="14">
        <f t="shared" si="10"/>
        <v>-82.75</v>
      </c>
      <c r="AL31" s="14">
        <f t="shared" si="10"/>
        <v>-82.75</v>
      </c>
      <c r="AM31" s="14">
        <f t="shared" si="10"/>
        <v>-82.75</v>
      </c>
    </row>
    <row r="33" spans="14:39" x14ac:dyDescent="0.25">
      <c r="N33" s="3" t="s">
        <v>83</v>
      </c>
      <c r="Y33" s="19"/>
      <c r="AA33" s="19">
        <f>+SUM(P34:AA34)-AA35</f>
        <v>0</v>
      </c>
    </row>
    <row r="34" spans="14:39" x14ac:dyDescent="0.25">
      <c r="N34" s="3" t="s">
        <v>84</v>
      </c>
      <c r="O34" s="14">
        <v>0</v>
      </c>
      <c r="P34" s="14">
        <v>0</v>
      </c>
      <c r="Q34" s="14">
        <v>841</v>
      </c>
      <c r="R34" s="14">
        <f>841*2</f>
        <v>1682</v>
      </c>
      <c r="S34" s="14">
        <f>841*2</f>
        <v>1682</v>
      </c>
      <c r="T34" s="14">
        <f>841*3</f>
        <v>2523</v>
      </c>
      <c r="U34" s="14">
        <f>841*2</f>
        <v>1682</v>
      </c>
      <c r="V34" s="14">
        <v>444</v>
      </c>
      <c r="W34" s="14">
        <v>300</v>
      </c>
      <c r="X34" s="14">
        <v>100</v>
      </c>
      <c r="Y34" s="14">
        <v>0</v>
      </c>
      <c r="Z34" s="21">
        <f>-ROUND($AA$73/60,0)</f>
        <v>0</v>
      </c>
      <c r="AA34" s="21">
        <f t="shared" ref="AA34" si="11">-ROUND($AA$73/60,0)</f>
        <v>0</v>
      </c>
      <c r="AB34" s="21">
        <f>-ROUND($AA$35/60,0)</f>
        <v>-154</v>
      </c>
      <c r="AC34" s="21">
        <f t="shared" ref="AC34:AM34" si="12">-ROUND($AA$35/60,0)</f>
        <v>-154</v>
      </c>
      <c r="AD34" s="21">
        <f t="shared" si="12"/>
        <v>-154</v>
      </c>
      <c r="AE34" s="21">
        <f t="shared" si="12"/>
        <v>-154</v>
      </c>
      <c r="AF34" s="21">
        <f t="shared" si="12"/>
        <v>-154</v>
      </c>
      <c r="AG34" s="21">
        <f t="shared" si="12"/>
        <v>-154</v>
      </c>
      <c r="AH34" s="21">
        <f t="shared" si="12"/>
        <v>-154</v>
      </c>
      <c r="AI34" s="21">
        <f t="shared" si="12"/>
        <v>-154</v>
      </c>
      <c r="AJ34" s="21">
        <f t="shared" si="12"/>
        <v>-154</v>
      </c>
      <c r="AK34" s="21">
        <f t="shared" si="12"/>
        <v>-154</v>
      </c>
      <c r="AL34" s="21">
        <f t="shared" si="12"/>
        <v>-154</v>
      </c>
      <c r="AM34" s="21">
        <f t="shared" si="12"/>
        <v>-154</v>
      </c>
    </row>
    <row r="35" spans="14:39" x14ac:dyDescent="0.25">
      <c r="AA35" s="3">
        <v>9254</v>
      </c>
    </row>
  </sheetData>
  <pageMargins left="0.7" right="0.7" top="0.75" bottom="0.75" header="0.3" footer="0.3"/>
  <pageSetup scale="34" orientation="landscape" verticalDpi="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 A C T I V E ! 1 5 6 7 6 8 5 9 . 1 < / d o c u m e n t i d >  
     < s e n d e r i d > K E A B E T < / s e n d e r i d >  
     < s e n d e r e m a i l > B K E A T I N G @ G U N S T E R . C O M < / s e n d e r e m a i l >  
     < l a s t m o d i f i e d > 2 0 2 2 - 0 6 - 2 7 T 1 6 : 1 9 : 0 8 . 0 0 0 0 0 0 0 - 0 4 : 0 0 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FN</vt:lpstr>
      <vt:lpstr>CFG</vt:lpstr>
      <vt:lpstr>FI</vt:lpstr>
      <vt:lpstr>FT</vt:lpstr>
      <vt:lpstr>FN!Print_Area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Onsomu, Philip</cp:lastModifiedBy>
  <cp:lastPrinted>2015-07-15T11:57:29Z</cp:lastPrinted>
  <dcterms:created xsi:type="dcterms:W3CDTF">2015-07-06T11:22:47Z</dcterms:created>
  <dcterms:modified xsi:type="dcterms:W3CDTF">2022-06-27T20:19:08Z</dcterms:modified>
</cp:coreProperties>
</file>