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12 to 19 Operation &amp; Maint Expense\List of Adjustments\"/>
    </mc:Choice>
  </mc:AlternateContent>
  <bookViews>
    <workbookView xWindow="0" yWindow="0" windowWidth="25200" windowHeight="11850"/>
  </bookViews>
  <sheets>
    <sheet name="Hi Level" sheetId="5" r:id="rId1"/>
    <sheet name="Summary" sheetId="4" r:id="rId2"/>
    <sheet name="CFG Liability" sheetId="1" r:id="rId3"/>
    <sheet name="CFG Asset" sheetId="2" r:id="rId4"/>
    <sheet name="FN Liability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5" l="1"/>
  <c r="L15" i="5"/>
  <c r="N18" i="5" l="1"/>
  <c r="M18" i="5"/>
  <c r="N15" i="5"/>
  <c r="M15" i="5"/>
  <c r="N13" i="5"/>
  <c r="M13" i="5"/>
  <c r="N12" i="5"/>
  <c r="N11" i="5"/>
  <c r="N10" i="5"/>
  <c r="M9" i="5"/>
  <c r="H52" i="4" l="1"/>
  <c r="H48" i="4"/>
  <c r="O18" i="3"/>
  <c r="H7" i="4"/>
  <c r="J12" i="5"/>
  <c r="J10" i="5"/>
  <c r="J9" i="5"/>
  <c r="J7" i="4" l="1"/>
  <c r="J74" i="4" l="1"/>
  <c r="J72" i="4"/>
  <c r="C66" i="4" l="1"/>
  <c r="D66" i="4"/>
  <c r="E66" i="4"/>
  <c r="F66" i="4"/>
  <c r="G66" i="4"/>
  <c r="B66" i="4"/>
  <c r="G52" i="4" l="1"/>
  <c r="G64" i="4" s="1"/>
  <c r="J64" i="4" s="1"/>
  <c r="J52" i="4" l="1"/>
  <c r="D17" i="3" l="1"/>
  <c r="H54" i="4" l="1"/>
  <c r="H56" i="4"/>
  <c r="G56" i="4"/>
  <c r="G55" i="4"/>
  <c r="G54" i="4"/>
  <c r="G57" i="4"/>
  <c r="G59" i="4"/>
  <c r="G51" i="4"/>
  <c r="G50" i="4"/>
  <c r="F55" i="4"/>
  <c r="F54" i="4"/>
  <c r="F51" i="4"/>
  <c r="F50" i="4"/>
  <c r="E55" i="4"/>
  <c r="E54" i="4"/>
  <c r="E57" i="4"/>
  <c r="E51" i="4"/>
  <c r="E50" i="4"/>
  <c r="D55" i="4"/>
  <c r="D54" i="4"/>
  <c r="D57" i="4"/>
  <c r="D51" i="4"/>
  <c r="D50" i="4"/>
  <c r="C54" i="4"/>
  <c r="C56" i="4"/>
  <c r="C51" i="4"/>
  <c r="C57" i="4"/>
  <c r="C50" i="4"/>
  <c r="B54" i="4"/>
  <c r="B50" i="4"/>
  <c r="B51" i="4"/>
  <c r="J51" i="4" s="1"/>
  <c r="B48" i="4"/>
  <c r="J48" i="4" s="1"/>
  <c r="B47" i="4"/>
  <c r="H58" i="4"/>
  <c r="G58" i="4"/>
  <c r="F58" i="4"/>
  <c r="B6" i="4"/>
  <c r="G37" i="4"/>
  <c r="F37" i="4"/>
  <c r="C40" i="4"/>
  <c r="B40" i="4"/>
  <c r="D26" i="4"/>
  <c r="D40" i="4" s="1"/>
  <c r="E26" i="4" s="1"/>
  <c r="E40" i="4" s="1"/>
  <c r="F26" i="4" s="1"/>
  <c r="G16" i="4"/>
  <c r="F16" i="4"/>
  <c r="C14" i="4"/>
  <c r="C10" i="4"/>
  <c r="B13" i="4"/>
  <c r="B10" i="4"/>
  <c r="D7" i="4"/>
  <c r="E7" i="4"/>
  <c r="F7" i="4"/>
  <c r="G7" i="4"/>
  <c r="B19" i="4" l="1"/>
  <c r="C6" i="4" s="1"/>
  <c r="J57" i="4"/>
  <c r="J55" i="4"/>
  <c r="J54" i="4"/>
  <c r="J56" i="4"/>
  <c r="C19" i="4"/>
  <c r="D6" i="4" s="1"/>
  <c r="D19" i="4" s="1"/>
  <c r="E6" i="4" s="1"/>
  <c r="E19" i="4" s="1"/>
  <c r="F6" i="4" s="1"/>
  <c r="F19" i="4" s="1"/>
  <c r="G6" i="4" s="1"/>
  <c r="G19" i="4" s="1"/>
  <c r="H6" i="4" s="1"/>
  <c r="B61" i="4"/>
  <c r="C47" i="4" s="1"/>
  <c r="C61" i="4" s="1"/>
  <c r="D47" i="4" s="1"/>
  <c r="D61" i="4" s="1"/>
  <c r="E47" i="4" s="1"/>
  <c r="E61" i="4" s="1"/>
  <c r="F47" i="4" s="1"/>
  <c r="F61" i="4" s="1"/>
  <c r="F40" i="4"/>
  <c r="G26" i="4" s="1"/>
  <c r="G40" i="4" s="1"/>
  <c r="H26" i="4" s="1"/>
  <c r="G47" i="4" l="1"/>
  <c r="G61" i="4" s="1"/>
  <c r="P18" i="3"/>
  <c r="N18" i="3"/>
  <c r="P10" i="3"/>
  <c r="P11" i="3"/>
  <c r="P12" i="3"/>
  <c r="P13" i="3"/>
  <c r="P14" i="3"/>
  <c r="P15" i="3"/>
  <c r="P16" i="3"/>
  <c r="P17" i="3"/>
  <c r="H50" i="4" s="1"/>
  <c r="J50" i="4" s="1"/>
  <c r="P19" i="3"/>
  <c r="P20" i="3"/>
  <c r="P21" i="3"/>
  <c r="P22" i="3"/>
  <c r="P23" i="3"/>
  <c r="H59" i="4" s="1"/>
  <c r="J59" i="4" s="1"/>
  <c r="E17" i="3"/>
  <c r="J61" i="4" l="1"/>
  <c r="H47" i="4"/>
  <c r="H61" i="4" s="1"/>
  <c r="H66" i="4" s="1"/>
  <c r="J73" i="4" l="1"/>
  <c r="J66" i="4"/>
  <c r="F17" i="3"/>
  <c r="H17" i="3"/>
  <c r="I17" i="3"/>
  <c r="J17" i="3"/>
  <c r="L17" i="3"/>
  <c r="C9" i="3"/>
  <c r="J11" i="5" l="1"/>
  <c r="J13" i="5" s="1"/>
  <c r="J15" i="5" s="1"/>
  <c r="J75" i="4"/>
  <c r="J77" i="4" s="1"/>
  <c r="O39" i="3"/>
  <c r="O34" i="3"/>
  <c r="N39" i="3"/>
  <c r="N34" i="3"/>
  <c r="M34" i="3"/>
  <c r="P28" i="3"/>
  <c r="L34" i="3"/>
  <c r="K34" i="3"/>
  <c r="I34" i="3" l="1"/>
  <c r="H34" i="3"/>
  <c r="F32" i="3"/>
  <c r="F34" i="3"/>
  <c r="F33" i="3"/>
  <c r="E34" i="3"/>
  <c r="D34" i="3"/>
  <c r="D31" i="3"/>
  <c r="P35" i="3"/>
  <c r="P36" i="3"/>
  <c r="P37" i="3"/>
  <c r="P38" i="3"/>
  <c r="P50" i="3"/>
  <c r="P51" i="3"/>
  <c r="P52" i="3"/>
  <c r="P53" i="3"/>
  <c r="O49" i="3"/>
  <c r="N49" i="3"/>
  <c r="M48" i="3"/>
  <c r="L49" i="3"/>
  <c r="K49" i="3"/>
  <c r="I49" i="3"/>
  <c r="G49" i="3"/>
  <c r="G47" i="3"/>
  <c r="F49" i="3"/>
  <c r="P65" i="3"/>
  <c r="P66" i="3"/>
  <c r="P67" i="3"/>
  <c r="P68" i="3"/>
  <c r="O64" i="3"/>
  <c r="N64" i="3"/>
  <c r="N63" i="3"/>
  <c r="M63" i="3"/>
  <c r="M64" i="3"/>
  <c r="L64" i="3"/>
  <c r="L63" i="3"/>
  <c r="K64" i="3"/>
  <c r="J63" i="3"/>
  <c r="J64" i="3"/>
  <c r="I63" i="3"/>
  <c r="H63" i="3"/>
  <c r="G64" i="3"/>
  <c r="G63" i="3"/>
  <c r="F64" i="3"/>
  <c r="E64" i="3"/>
  <c r="D63" i="3"/>
  <c r="D64" i="3"/>
  <c r="P80" i="3"/>
  <c r="P81" i="3"/>
  <c r="P82" i="3"/>
  <c r="P83" i="3"/>
  <c r="O79" i="3"/>
  <c r="N79" i="3"/>
  <c r="M79" i="3"/>
  <c r="K79" i="3" l="1"/>
  <c r="K78" i="3"/>
  <c r="J79" i="3"/>
  <c r="J76" i="3"/>
  <c r="I79" i="3"/>
  <c r="H79" i="3"/>
  <c r="G79" i="3"/>
  <c r="F79" i="3"/>
  <c r="E79" i="3"/>
  <c r="E78" i="3"/>
  <c r="O94" i="3"/>
  <c r="K93" i="3"/>
  <c r="I93" i="3"/>
  <c r="P95" i="3" l="1"/>
  <c r="O93" i="3"/>
  <c r="N93" i="3"/>
  <c r="M93" i="3"/>
  <c r="L93" i="3"/>
  <c r="K90" i="3"/>
  <c r="J93" i="3"/>
  <c r="I94" i="3"/>
  <c r="H94" i="3"/>
  <c r="F93" i="3"/>
  <c r="G93" i="3"/>
  <c r="G94" i="3"/>
  <c r="E94" i="3"/>
  <c r="E93" i="3"/>
  <c r="N106" i="3"/>
  <c r="O106" i="3"/>
  <c r="K106" i="3"/>
  <c r="G106" i="3"/>
  <c r="M106" i="3"/>
  <c r="J106" i="3"/>
  <c r="I106" i="3"/>
  <c r="H106" i="3"/>
  <c r="E106" i="3"/>
  <c r="N118" i="3" l="1"/>
  <c r="M118" i="3"/>
  <c r="L118" i="3"/>
  <c r="K118" i="3"/>
  <c r="J118" i="3"/>
  <c r="I118" i="3"/>
  <c r="H118" i="3"/>
  <c r="G118" i="3"/>
  <c r="F118" i="3"/>
  <c r="E118" i="3"/>
  <c r="D118" i="3"/>
  <c r="P117" i="3"/>
  <c r="P116" i="3"/>
  <c r="P115" i="3"/>
  <c r="P114" i="3"/>
  <c r="P113" i="3"/>
  <c r="P112" i="3"/>
  <c r="O118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P108" i="3"/>
  <c r="P107" i="3"/>
  <c r="P106" i="3"/>
  <c r="P105" i="3"/>
  <c r="P104" i="3"/>
  <c r="P103" i="3"/>
  <c r="O97" i="3"/>
  <c r="N97" i="3"/>
  <c r="M97" i="3"/>
  <c r="L97" i="3"/>
  <c r="K97" i="3"/>
  <c r="J97" i="3"/>
  <c r="I97" i="3"/>
  <c r="H97" i="3"/>
  <c r="G97" i="3"/>
  <c r="F97" i="3"/>
  <c r="E97" i="3"/>
  <c r="D97" i="3"/>
  <c r="P96" i="3"/>
  <c r="P94" i="3"/>
  <c r="P93" i="3"/>
  <c r="P92" i="3"/>
  <c r="P91" i="3"/>
  <c r="P90" i="3"/>
  <c r="P89" i="3"/>
  <c r="O85" i="3"/>
  <c r="N85" i="3"/>
  <c r="M85" i="3"/>
  <c r="L85" i="3"/>
  <c r="K85" i="3"/>
  <c r="J85" i="3"/>
  <c r="I85" i="3"/>
  <c r="H85" i="3"/>
  <c r="G85" i="3"/>
  <c r="F85" i="3"/>
  <c r="E85" i="3"/>
  <c r="D85" i="3"/>
  <c r="P84" i="3"/>
  <c r="P79" i="3"/>
  <c r="P78" i="3"/>
  <c r="P77" i="3"/>
  <c r="P76" i="3"/>
  <c r="P75" i="3"/>
  <c r="P74" i="3"/>
  <c r="O70" i="3"/>
  <c r="N70" i="3"/>
  <c r="M70" i="3"/>
  <c r="L70" i="3"/>
  <c r="K70" i="3"/>
  <c r="J70" i="3"/>
  <c r="I70" i="3"/>
  <c r="H70" i="3"/>
  <c r="G70" i="3"/>
  <c r="F70" i="3"/>
  <c r="E70" i="3"/>
  <c r="D70" i="3"/>
  <c r="P69" i="3"/>
  <c r="P64" i="3"/>
  <c r="P63" i="3"/>
  <c r="P62" i="3"/>
  <c r="P61" i="3"/>
  <c r="P60" i="3"/>
  <c r="P59" i="3"/>
  <c r="O55" i="3"/>
  <c r="N55" i="3"/>
  <c r="M55" i="3"/>
  <c r="L55" i="3"/>
  <c r="K55" i="3"/>
  <c r="J55" i="3"/>
  <c r="I55" i="3"/>
  <c r="H55" i="3"/>
  <c r="G55" i="3"/>
  <c r="F55" i="3"/>
  <c r="E55" i="3"/>
  <c r="D55" i="3"/>
  <c r="P54" i="3"/>
  <c r="P49" i="3"/>
  <c r="P48" i="3"/>
  <c r="P47" i="3"/>
  <c r="P46" i="3"/>
  <c r="P45" i="3"/>
  <c r="P44" i="3"/>
  <c r="O40" i="3"/>
  <c r="N40" i="3"/>
  <c r="M40" i="3"/>
  <c r="L40" i="3"/>
  <c r="K40" i="3"/>
  <c r="J40" i="3"/>
  <c r="I40" i="3"/>
  <c r="H40" i="3"/>
  <c r="G40" i="3"/>
  <c r="F40" i="3"/>
  <c r="E40" i="3"/>
  <c r="D40" i="3"/>
  <c r="P39" i="3"/>
  <c r="P34" i="3"/>
  <c r="P33" i="3"/>
  <c r="P32" i="3"/>
  <c r="P31" i="3"/>
  <c r="P30" i="3"/>
  <c r="P29" i="3"/>
  <c r="O24" i="3"/>
  <c r="N24" i="3"/>
  <c r="M24" i="3"/>
  <c r="L24" i="3"/>
  <c r="K24" i="3"/>
  <c r="J24" i="3"/>
  <c r="I24" i="3"/>
  <c r="H24" i="3"/>
  <c r="G24" i="3"/>
  <c r="F24" i="3"/>
  <c r="E24" i="3"/>
  <c r="D24" i="3"/>
  <c r="N95" i="2" l="1"/>
  <c r="M95" i="2"/>
  <c r="L95" i="2"/>
  <c r="K95" i="2"/>
  <c r="J95" i="2"/>
  <c r="I95" i="2"/>
  <c r="H95" i="2"/>
  <c r="G95" i="2"/>
  <c r="F95" i="2"/>
  <c r="E95" i="2"/>
  <c r="D95" i="2"/>
  <c r="P94" i="2"/>
  <c r="P93" i="2"/>
  <c r="P92" i="2"/>
  <c r="P91" i="2"/>
  <c r="P90" i="2"/>
  <c r="P89" i="2"/>
  <c r="O95" i="2"/>
  <c r="C88" i="2"/>
  <c r="P88" i="2" s="1"/>
  <c r="O86" i="2"/>
  <c r="N86" i="2"/>
  <c r="M86" i="2"/>
  <c r="L86" i="2"/>
  <c r="K86" i="2"/>
  <c r="J86" i="2"/>
  <c r="I86" i="2"/>
  <c r="H86" i="2"/>
  <c r="G86" i="2"/>
  <c r="F86" i="2"/>
  <c r="E86" i="2"/>
  <c r="D86" i="2"/>
  <c r="P85" i="2"/>
  <c r="P84" i="2"/>
  <c r="P83" i="2"/>
  <c r="P82" i="2"/>
  <c r="P81" i="2"/>
  <c r="P80" i="2"/>
  <c r="O74" i="2"/>
  <c r="N74" i="2"/>
  <c r="M74" i="2"/>
  <c r="L74" i="2"/>
  <c r="K74" i="2"/>
  <c r="J74" i="2"/>
  <c r="I74" i="2"/>
  <c r="H74" i="2"/>
  <c r="G74" i="2"/>
  <c r="F74" i="2"/>
  <c r="E74" i="2"/>
  <c r="D74" i="2"/>
  <c r="P73" i="2"/>
  <c r="P72" i="2"/>
  <c r="P71" i="2"/>
  <c r="P70" i="2"/>
  <c r="P69" i="2"/>
  <c r="P68" i="2"/>
  <c r="P67" i="2"/>
  <c r="O63" i="2"/>
  <c r="N63" i="2"/>
  <c r="M63" i="2"/>
  <c r="L63" i="2"/>
  <c r="K63" i="2"/>
  <c r="J63" i="2"/>
  <c r="I63" i="2"/>
  <c r="H63" i="2"/>
  <c r="G63" i="2"/>
  <c r="F63" i="2"/>
  <c r="E63" i="2"/>
  <c r="D63" i="2"/>
  <c r="P62" i="2"/>
  <c r="P61" i="2"/>
  <c r="P60" i="2"/>
  <c r="P59" i="2"/>
  <c r="P58" i="2"/>
  <c r="P57" i="2"/>
  <c r="P56" i="2"/>
  <c r="O52" i="2"/>
  <c r="N52" i="2"/>
  <c r="M52" i="2"/>
  <c r="L52" i="2"/>
  <c r="K52" i="2"/>
  <c r="J52" i="2"/>
  <c r="I52" i="2"/>
  <c r="H52" i="2"/>
  <c r="G52" i="2"/>
  <c r="F52" i="2"/>
  <c r="E52" i="2"/>
  <c r="D52" i="2"/>
  <c r="P51" i="2"/>
  <c r="P50" i="2"/>
  <c r="P49" i="2"/>
  <c r="P48" i="2"/>
  <c r="P47" i="2"/>
  <c r="P46" i="2"/>
  <c r="P45" i="2"/>
  <c r="O41" i="2"/>
  <c r="N41" i="2"/>
  <c r="M41" i="2"/>
  <c r="L41" i="2"/>
  <c r="K41" i="2"/>
  <c r="J41" i="2"/>
  <c r="I41" i="2"/>
  <c r="H41" i="2"/>
  <c r="G41" i="2"/>
  <c r="F41" i="2"/>
  <c r="E41" i="2"/>
  <c r="D41" i="2"/>
  <c r="P40" i="2"/>
  <c r="P39" i="2"/>
  <c r="P38" i="2"/>
  <c r="P37" i="2"/>
  <c r="P36" i="2"/>
  <c r="P35" i="2"/>
  <c r="P34" i="2"/>
  <c r="O30" i="2"/>
  <c r="N30" i="2"/>
  <c r="M30" i="2"/>
  <c r="L30" i="2"/>
  <c r="K30" i="2"/>
  <c r="J30" i="2"/>
  <c r="I30" i="2"/>
  <c r="H30" i="2"/>
  <c r="G30" i="2"/>
  <c r="F30" i="2"/>
  <c r="E30" i="2"/>
  <c r="D30" i="2"/>
  <c r="P29" i="2"/>
  <c r="P28" i="2"/>
  <c r="P27" i="2"/>
  <c r="P26" i="2"/>
  <c r="P25" i="2"/>
  <c r="P24" i="2"/>
  <c r="P23" i="2"/>
  <c r="O19" i="2"/>
  <c r="N19" i="2"/>
  <c r="M19" i="2"/>
  <c r="L19" i="2"/>
  <c r="K19" i="2"/>
  <c r="J19" i="2"/>
  <c r="I19" i="2"/>
  <c r="H19" i="2"/>
  <c r="G19" i="2"/>
  <c r="F19" i="2"/>
  <c r="E19" i="2"/>
  <c r="D19" i="2"/>
  <c r="P18" i="2"/>
  <c r="P17" i="2"/>
  <c r="P16" i="2"/>
  <c r="P15" i="2"/>
  <c r="P14" i="2"/>
  <c r="P13" i="2"/>
  <c r="P12" i="2"/>
  <c r="H37" i="4" s="1"/>
  <c r="H40" i="4" s="1"/>
  <c r="P9" i="1"/>
  <c r="C9" i="1"/>
  <c r="C17" i="1" s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H16" i="4" s="1"/>
  <c r="H19" i="4" s="1"/>
  <c r="P15" i="1"/>
  <c r="P14" i="1"/>
  <c r="P13" i="1"/>
  <c r="P12" i="1"/>
  <c r="P11" i="1"/>
  <c r="P10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P22" i="1"/>
  <c r="P21" i="1"/>
  <c r="P17" i="1" l="1"/>
  <c r="P95" i="2"/>
  <c r="C79" i="2" s="1"/>
  <c r="C86" i="2" s="1"/>
  <c r="C95" i="2"/>
  <c r="P111" i="3" l="1"/>
  <c r="P118" i="3" s="1"/>
  <c r="C102" i="3" s="1"/>
  <c r="C118" i="3"/>
  <c r="P79" i="2"/>
  <c r="P86" i="2" s="1"/>
  <c r="C66" i="2" s="1"/>
  <c r="C74" i="2" s="1"/>
  <c r="P102" i="3" l="1"/>
  <c r="P109" i="3" s="1"/>
  <c r="C88" i="3" s="1"/>
  <c r="C109" i="3"/>
  <c r="P66" i="2"/>
  <c r="P74" i="2" s="1"/>
  <c r="C55" i="2" s="1"/>
  <c r="C63" i="2" s="1"/>
  <c r="C97" i="3" l="1"/>
  <c r="P88" i="3"/>
  <c r="P97" i="3" s="1"/>
  <c r="C73" i="3" s="1"/>
  <c r="P55" i="2"/>
  <c r="P63" i="2" s="1"/>
  <c r="C44" i="2" s="1"/>
  <c r="C52" i="2" s="1"/>
  <c r="C85" i="3" l="1"/>
  <c r="P73" i="3"/>
  <c r="P85" i="3" s="1"/>
  <c r="C58" i="3" s="1"/>
  <c r="P44" i="2"/>
  <c r="P52" i="2" s="1"/>
  <c r="C33" i="2" s="1"/>
  <c r="C41" i="2" s="1"/>
  <c r="P58" i="3" l="1"/>
  <c r="P70" i="3" s="1"/>
  <c r="C43" i="3" s="1"/>
  <c r="C70" i="3"/>
  <c r="P33" i="2"/>
  <c r="P41" i="2" s="1"/>
  <c r="C22" i="2" s="1"/>
  <c r="P22" i="2" s="1"/>
  <c r="P30" i="2" s="1"/>
  <c r="C11" i="2" s="1"/>
  <c r="C55" i="3" l="1"/>
  <c r="P43" i="3"/>
  <c r="P55" i="3" s="1"/>
  <c r="C27" i="3" s="1"/>
  <c r="C30" i="2"/>
  <c r="C19" i="2"/>
  <c r="P11" i="2"/>
  <c r="P19" i="2" s="1"/>
  <c r="C40" i="3" l="1"/>
  <c r="P27" i="3"/>
  <c r="P40" i="3" s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P37" i="1"/>
  <c r="P36" i="1"/>
  <c r="P35" i="1"/>
  <c r="P34" i="1"/>
  <c r="P33" i="1"/>
  <c r="P32" i="1"/>
  <c r="O50" i="1"/>
  <c r="N50" i="1"/>
  <c r="M50" i="1"/>
  <c r="L50" i="1"/>
  <c r="K50" i="1"/>
  <c r="J50" i="1"/>
  <c r="I50" i="1"/>
  <c r="H50" i="1"/>
  <c r="G50" i="1"/>
  <c r="F50" i="1"/>
  <c r="E50" i="1"/>
  <c r="D50" i="1"/>
  <c r="P49" i="1"/>
  <c r="P48" i="1"/>
  <c r="P47" i="1"/>
  <c r="P46" i="1"/>
  <c r="P45" i="1"/>
  <c r="P44" i="1"/>
  <c r="P43" i="1"/>
  <c r="O61" i="1"/>
  <c r="N61" i="1"/>
  <c r="M61" i="1"/>
  <c r="L61" i="1"/>
  <c r="K61" i="1"/>
  <c r="J61" i="1"/>
  <c r="I61" i="1"/>
  <c r="H61" i="1"/>
  <c r="G61" i="1"/>
  <c r="F61" i="1"/>
  <c r="E61" i="1"/>
  <c r="D61" i="1"/>
  <c r="P60" i="1"/>
  <c r="P59" i="1"/>
  <c r="P58" i="1"/>
  <c r="P57" i="1"/>
  <c r="P56" i="1"/>
  <c r="P55" i="1"/>
  <c r="P54" i="1"/>
  <c r="P67" i="1"/>
  <c r="O72" i="1"/>
  <c r="N72" i="1"/>
  <c r="M72" i="1"/>
  <c r="L72" i="1"/>
  <c r="K72" i="1"/>
  <c r="J72" i="1"/>
  <c r="I72" i="1"/>
  <c r="H72" i="1"/>
  <c r="G72" i="1"/>
  <c r="F72" i="1"/>
  <c r="E72" i="1"/>
  <c r="D72" i="1"/>
  <c r="P71" i="1"/>
  <c r="P70" i="1"/>
  <c r="P69" i="1"/>
  <c r="P68" i="1"/>
  <c r="P66" i="1"/>
  <c r="P65" i="1"/>
  <c r="O84" i="1"/>
  <c r="N84" i="1"/>
  <c r="M84" i="1"/>
  <c r="L84" i="1"/>
  <c r="K84" i="1"/>
  <c r="J84" i="1"/>
  <c r="I84" i="1"/>
  <c r="H84" i="1"/>
  <c r="G84" i="1"/>
  <c r="F84" i="1"/>
  <c r="E84" i="1"/>
  <c r="D84" i="1"/>
  <c r="P83" i="1"/>
  <c r="P82" i="1"/>
  <c r="P81" i="1"/>
  <c r="P80" i="1"/>
  <c r="P79" i="1"/>
  <c r="P78" i="1"/>
  <c r="O86" i="1"/>
  <c r="O93" i="1" s="1"/>
  <c r="F93" i="1"/>
  <c r="D93" i="1"/>
  <c r="P90" i="1"/>
  <c r="P87" i="1"/>
  <c r="P88" i="1"/>
  <c r="P89" i="1"/>
  <c r="P91" i="1"/>
  <c r="P92" i="1"/>
  <c r="E93" i="1"/>
  <c r="G93" i="1"/>
  <c r="H93" i="1"/>
  <c r="I93" i="1"/>
  <c r="J93" i="1"/>
  <c r="K93" i="1"/>
  <c r="L93" i="1"/>
  <c r="M93" i="1"/>
  <c r="N93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4" i="1"/>
  <c r="P105" i="1"/>
  <c r="P106" i="1"/>
  <c r="P107" i="1"/>
  <c r="P108" i="1"/>
  <c r="P111" i="1"/>
  <c r="C117" i="1"/>
  <c r="E117" i="1"/>
  <c r="F117" i="1"/>
  <c r="G117" i="1"/>
  <c r="H117" i="1"/>
  <c r="I117" i="1"/>
  <c r="J117" i="1"/>
  <c r="K117" i="1"/>
  <c r="L117" i="1"/>
  <c r="M117" i="1"/>
  <c r="N117" i="1"/>
  <c r="O117" i="1"/>
  <c r="D117" i="1"/>
  <c r="P114" i="1"/>
  <c r="P112" i="1"/>
  <c r="P113" i="1"/>
  <c r="P115" i="1"/>
  <c r="P116" i="1"/>
  <c r="C24" i="3" l="1"/>
  <c r="P9" i="3"/>
  <c r="P24" i="3" s="1"/>
  <c r="P117" i="1"/>
  <c r="C103" i="1" s="1"/>
  <c r="P103" i="1" l="1"/>
  <c r="P109" i="1" s="1"/>
  <c r="C95" i="1" s="1"/>
  <c r="C109" i="1"/>
  <c r="C101" i="1" l="1"/>
  <c r="P95" i="1"/>
  <c r="P101" i="1" s="1"/>
  <c r="C86" i="1" l="1"/>
  <c r="P86" i="1" s="1"/>
  <c r="P93" i="1" s="1"/>
  <c r="C77" i="1" s="1"/>
  <c r="P77" i="1" l="1"/>
  <c r="P84" i="1" s="1"/>
  <c r="C64" i="1" s="1"/>
  <c r="C84" i="1"/>
  <c r="C93" i="1"/>
  <c r="P64" i="1" l="1"/>
  <c r="P72" i="1" s="1"/>
  <c r="C53" i="1" s="1"/>
  <c r="C72" i="1"/>
  <c r="P53" i="1" l="1"/>
  <c r="P61" i="1" s="1"/>
  <c r="C61" i="1"/>
  <c r="C42" i="1" l="1"/>
  <c r="P42" i="1" l="1"/>
  <c r="P50" i="1" s="1"/>
  <c r="C31" i="1" s="1"/>
  <c r="C50" i="1"/>
  <c r="C39" i="1" l="1"/>
  <c r="P31" i="1"/>
  <c r="P39" i="1" s="1"/>
  <c r="C20" i="1" s="1"/>
  <c r="C28" i="1" l="1"/>
  <c r="P20" i="1"/>
  <c r="P28" i="1" s="1"/>
</calcChain>
</file>

<file path=xl/sharedStrings.xml><?xml version="1.0" encoding="utf-8"?>
<sst xmlns="http://schemas.openxmlformats.org/spreadsheetml/2006/main" count="304" uniqueCount="86">
  <si>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</si>
  <si>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</si>
  <si>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</si>
  <si>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</si>
  <si>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</si>
  <si>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</si>
  <si>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</si>
  <si>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</si>
  <si>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</si>
  <si>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</si>
  <si>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</si>
  <si>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</si>
  <si>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</si>
  <si>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Monthly Accrual</t>
  </si>
  <si>
    <t>Insurance Proceeds</t>
  </si>
  <si>
    <t>Horace Mann</t>
  </si>
  <si>
    <t>Jim Williams Fence Co</t>
  </si>
  <si>
    <t xml:space="preserve">A&amp;E Auto Body </t>
  </si>
  <si>
    <t>True-up</t>
  </si>
  <si>
    <t>Beginning</t>
  </si>
  <si>
    <t>Windhaven Managers</t>
  </si>
  <si>
    <t>City of Inverness</t>
  </si>
  <si>
    <t>Zurich</t>
  </si>
  <si>
    <t>T&amp;T</t>
  </si>
  <si>
    <t>Reclass from Reg Liability account</t>
  </si>
  <si>
    <t>FPU Natural Gas</t>
  </si>
  <si>
    <t>Self Insurance Liability</t>
  </si>
  <si>
    <t>Central Florida Natural Gas</t>
  </si>
  <si>
    <t>Aaronson, Austin, PA</t>
  </si>
  <si>
    <t>Bill Adams Windshield</t>
  </si>
  <si>
    <t>Andre Williams Claim</t>
  </si>
  <si>
    <t>Liberty Mutual</t>
  </si>
  <si>
    <t>Auto Glass of Florida</t>
  </si>
  <si>
    <t>Roger LaCharite vehicle repair</t>
  </si>
  <si>
    <t>Pool Heater Replacement</t>
  </si>
  <si>
    <t>Staples</t>
  </si>
  <si>
    <t>James Rolle Truck Repairs</t>
  </si>
  <si>
    <t>State Farm Automobile Insurance</t>
  </si>
  <si>
    <t>Craig Obrien Truck Repairs</t>
  </si>
  <si>
    <t>Collision Repairs</t>
  </si>
  <si>
    <t>MetLife Auto &amp; Home</t>
  </si>
  <si>
    <t>Allstate</t>
  </si>
  <si>
    <t>Auto Repairs</t>
  </si>
  <si>
    <t>Towing</t>
  </si>
  <si>
    <t>AT&amp;T Damages</t>
  </si>
  <si>
    <t>City of Delray Water Damages</t>
  </si>
  <si>
    <t>USAA General Indeminity Company</t>
  </si>
  <si>
    <t>Workers Compensation</t>
  </si>
  <si>
    <t>Payments to Insurance Companies</t>
  </si>
  <si>
    <t>Payments for Other Claims</t>
  </si>
  <si>
    <t>Auto Repair</t>
  </si>
  <si>
    <t>Auto Body Work</t>
  </si>
  <si>
    <t>Reimbursements from Insurance Co.</t>
  </si>
  <si>
    <t>Property Damage</t>
  </si>
  <si>
    <t>Reclass to Regulatory Asset</t>
  </si>
  <si>
    <t>True-up Entry</t>
  </si>
  <si>
    <t>CFG Regulatory Liability</t>
  </si>
  <si>
    <t>CFG Regulatory Asset</t>
  </si>
  <si>
    <t>Reclass from Regulatory Liability</t>
  </si>
  <si>
    <t>Beginning Balance</t>
  </si>
  <si>
    <t>Ending Balance</t>
  </si>
  <si>
    <t>7 Year Avg</t>
  </si>
  <si>
    <t>FN Regulatory Liability</t>
  </si>
  <si>
    <t>Changes for Workers Compensation Deductible Limits</t>
  </si>
  <si>
    <r>
      <t xml:space="preserve">Workers Compensation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</si>
  <si>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2015 and 2016 workers' compensation claims are capped at our current deductible amount of $250k per claim</t>
    </r>
  </si>
  <si>
    <t>Recommendation</t>
  </si>
  <si>
    <t>Add: Current Annual Shortage Based on Claims History</t>
  </si>
  <si>
    <t>Add: Workers Compensation Policy Change Based on Claims History</t>
  </si>
  <si>
    <t>Inflation</t>
  </si>
  <si>
    <t xml:space="preserve">Total Recommended Annual Expense </t>
  </si>
  <si>
    <t>Ending Balance Considering Insurance Policy Changes</t>
  </si>
  <si>
    <t>Current Annual Expense</t>
  </si>
  <si>
    <t>Current Annual Expense - FPU</t>
  </si>
  <si>
    <t>Current Annual Expense - CFG</t>
  </si>
  <si>
    <t>Add: Current Annual Shortage Based on Claims History (FPU)</t>
  </si>
  <si>
    <t>Add: Workers Compensation Policy Change Based on Claims History (FPU)</t>
  </si>
  <si>
    <t>Chesapeake Utilties Corporation</t>
  </si>
  <si>
    <t>Self-Insurance Reserve (FPU &amp; CFG)</t>
  </si>
  <si>
    <t>Seven-Year Analysis (2015-2021)</t>
  </si>
  <si>
    <t>CFG</t>
  </si>
  <si>
    <t>FN</t>
  </si>
  <si>
    <t>2022 inflation rate in G2 schedule (from Noah)</t>
  </si>
  <si>
    <t>2023 inflation rate in G2 schedule (from Noah)</t>
  </si>
  <si>
    <t>to wp 1. List of adjustments</t>
  </si>
  <si>
    <t>Account 7520-9250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</si>
</sst>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43" fontId="0" fillId="0" borderId="1" xfId="1" applyFont="1" applyBorder="1"/>
    <xf numFmtId="43" fontId="0" fillId="0" borderId="0" xfId="0" applyNumberFormat="1"/>
    <xf numFmtId="43" fontId="0" fillId="0" borderId="1" xfId="0" applyNumberFormat="1" applyBorder="1"/>
    <xf numFmtId="43" fontId="0" fillId="0" borderId="0" xfId="0" applyNumberFormat="1" applyBorder="1"/>
    <xf numFmtId="0" fontId="2" fillId="0" borderId="0" xfId="0" applyFont="1"/>
    <xf numFmtId="43" fontId="2" fillId="0" borderId="0" xfId="1" applyFont="1"/>
    <xf numFmtId="0" fontId="0" fillId="0" borderId="0" xfId="0" applyFont="1"/>
    <xf numFmtId="43" fontId="1" fillId="0" borderId="0" xfId="1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41" fontId="0" fillId="0" borderId="0" xfId="0" applyNumberFormat="1"/>
    <xf numFmtId="41" fontId="0" fillId="0" borderId="1" xfId="0" applyNumberFormat="1" applyBorder="1"/>
    <xf numFmtId="0" fontId="2" fillId="0" borderId="2" xfId="0" applyFont="1" applyBorder="1"/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41" fontId="0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41" fontId="0" fillId="2" borderId="0" xfId="0" applyNumberFormat="1" applyFill="1"/>
    <xf numFmtId="164" fontId="0" fillId="0" borderId="0" xfId="0" applyNumberFormat="1"/>
    <xf numFmtId="41" fontId="0" fillId="0" borderId="0" xfId="0" applyNumberFormat="1" applyBorder="1"/>
    <xf numFmtId="41" fontId="0" fillId="0" borderId="2" xfId="0" applyNumberFormat="1" applyBorder="1"/>
    <xf numFmtId="9" fontId="0" fillId="0" borderId="0" xfId="3" applyFont="1"/>
    <xf numFmtId="165" fontId="0" fillId="0" borderId="1" xfId="2" applyNumberFormat="1" applyFont="1" applyBorder="1"/>
    <xf numFmtId="165" fontId="0" fillId="0" borderId="0" xfId="2" applyNumberFormat="1" applyFont="1"/>
    <xf numFmtId="165" fontId="0" fillId="0" borderId="0" xfId="0" applyNumberFormat="1"/>
    <xf numFmtId="0" fontId="0" fillId="0" borderId="2" xfId="0" applyBorder="1"/>
    <xf numFmtId="0" fontId="0" fillId="0" borderId="0" xfId="0" applyAlignment="1">
      <alignment horizontal="center"/>
    </xf>
    <xf numFmtId="10" fontId="0" fillId="0" borderId="0" xfId="3" applyNumberFormat="1" applyFont="1"/>
    <xf numFmtId="10" fontId="0" fillId="0" borderId="0" xfId="0" applyNumberFormat="1"/>
    <xf numFmtId="44" fontId="0" fillId="0" borderId="0" xfId="0" applyNumberFormat="1"/>
    <xf numFmtId="165" fontId="0" fillId="2" borderId="1" xfId="2" applyNumberFormat="1" applyFont="1" applyFill="1" applyBorder="1"/>
    <xf numFmtId="0" fontId="4" fillId="0" borderId="0" xfId="0" applyFont="1"/>
    <xf numFmtId="164" fontId="0" fillId="2" borderId="1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M7" sqref="M7"/>
    </sheetView>
  </sheetViews>
  <sheetFormatPr defaultRowHeight="15" x14ac:dyDescent="0.25"/>
  <cols>
    <col min="10" max="10" width="12.5703125" bestFit="1" customWidth="1"/>
    <col min="12" max="12" width="10" bestFit="1" customWidth="1"/>
    <col min="13" max="13" width="11.5703125" bestFit="1" customWidth="1"/>
    <col min="14" max="14" width="11.7109375" customWidth="1"/>
  </cols>
  <sheetData>
    <row r="1" spans="1:15" x14ac:dyDescent="0.25">
      <c r="A1" s="7" t="s">
        <v>77</v>
      </c>
    </row>
    <row r="2" spans="1:15" x14ac:dyDescent="0.25">
      <c r="A2" s="7" t="s">
        <v>78</v>
      </c>
    </row>
    <row r="3" spans="1:15" x14ac:dyDescent="0.25">
      <c r="A3" s="7" t="s">
        <v>79</v>
      </c>
    </row>
    <row r="6" spans="1:15" x14ac:dyDescent="0.25">
      <c r="M6" s="34" t="s">
        <v>85</v>
      </c>
    </row>
    <row r="8" spans="1:15" x14ac:dyDescent="0.25">
      <c r="M8" s="29" t="s">
        <v>80</v>
      </c>
      <c r="N8" s="29" t="s">
        <v>81</v>
      </c>
    </row>
    <row r="9" spans="1:15" x14ac:dyDescent="0.25">
      <c r="A9" t="s">
        <v>74</v>
      </c>
      <c r="J9" s="26">
        <f>+Summary!G7</f>
        <v>14400</v>
      </c>
      <c r="M9" s="27">
        <f>J9</f>
        <v>14400</v>
      </c>
    </row>
    <row r="10" spans="1:15" x14ac:dyDescent="0.25">
      <c r="A10" t="s">
        <v>73</v>
      </c>
      <c r="J10" s="13">
        <f>+Summary!J72</f>
        <v>126848.04000000001</v>
      </c>
      <c r="N10" s="13">
        <f>J10</f>
        <v>126848.04000000001</v>
      </c>
    </row>
    <row r="11" spans="1:15" x14ac:dyDescent="0.25">
      <c r="A11" t="s">
        <v>75</v>
      </c>
      <c r="J11" s="13">
        <f>+Summary!J73</f>
        <v>13706.162142857047</v>
      </c>
      <c r="N11" s="13">
        <f>J11</f>
        <v>13706.162142857047</v>
      </c>
    </row>
    <row r="12" spans="1:15" x14ac:dyDescent="0.25">
      <c r="A12" t="s">
        <v>76</v>
      </c>
      <c r="J12" s="23">
        <f>+Summary!J74</f>
        <v>98747.314285714296</v>
      </c>
      <c r="M12" s="28"/>
      <c r="N12" s="23">
        <f>J12</f>
        <v>98747.314285714296</v>
      </c>
    </row>
    <row r="13" spans="1:15" x14ac:dyDescent="0.25">
      <c r="A13" t="s">
        <v>12</v>
      </c>
      <c r="J13" s="26">
        <f>SUM(J9:J12)</f>
        <v>253701.51642857134</v>
      </c>
      <c r="M13" s="27">
        <f>SUM(M9:M12)</f>
        <v>14400</v>
      </c>
      <c r="N13" s="27">
        <f>SUM(N9:N12)</f>
        <v>239301.51642857134</v>
      </c>
    </row>
    <row r="14" spans="1:15" x14ac:dyDescent="0.25">
      <c r="A14" t="s">
        <v>69</v>
      </c>
      <c r="J14" s="24">
        <v>0.04</v>
      </c>
      <c r="M14" s="30">
        <v>5.8799999999999998E-2</v>
      </c>
      <c r="N14" s="30">
        <v>5.8799999999999998E-2</v>
      </c>
      <c r="O14" t="s">
        <v>82</v>
      </c>
    </row>
    <row r="15" spans="1:15" ht="15.75" thickBot="1" x14ac:dyDescent="0.3">
      <c r="A15" t="s">
        <v>70</v>
      </c>
      <c r="J15" s="25">
        <f>+J13*(1+J14)</f>
        <v>263849.57708571421</v>
      </c>
      <c r="L15" s="27">
        <f>M15+N15</f>
        <v>268619.16559457133</v>
      </c>
      <c r="M15" s="33">
        <f t="shared" ref="M15:N15" si="0">+M13*(1+M14)</f>
        <v>15246.72</v>
      </c>
      <c r="N15" s="33">
        <f t="shared" si="0"/>
        <v>253372.44559457133</v>
      </c>
      <c r="O15" s="34" t="s">
        <v>84</v>
      </c>
    </row>
    <row r="16" spans="1:15" ht="15.75" thickTop="1" x14ac:dyDescent="0.25"/>
    <row r="17" spans="12:15" x14ac:dyDescent="0.25">
      <c r="M17" s="31">
        <v>9.1700000000000004E-2</v>
      </c>
      <c r="N17" s="31">
        <v>9.1700000000000004E-2</v>
      </c>
      <c r="O17" t="s">
        <v>83</v>
      </c>
    </row>
    <row r="18" spans="12:15" ht="15.75" thickBot="1" x14ac:dyDescent="0.3">
      <c r="L18" s="27">
        <f>M18+N18</f>
        <v>276965.94548507128</v>
      </c>
      <c r="M18" s="35">
        <f>M13*(1+M17)</f>
        <v>15720.479999999998</v>
      </c>
      <c r="N18" s="35">
        <f>N13*(1+N17)</f>
        <v>261245.4654850713</v>
      </c>
      <c r="O18" s="34" t="s">
        <v>84</v>
      </c>
    </row>
    <row r="19" spans="12:15" ht="15.75" thickTop="1" x14ac:dyDescent="0.25"/>
    <row r="21" spans="12:15" x14ac:dyDescent="0.25">
      <c r="M21" s="32"/>
    </row>
    <row r="22" spans="12:15" x14ac:dyDescent="0.25">
      <c r="M22" s="3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8"/>
  <sheetViews>
    <sheetView topLeftCell="A4" workbookViewId="0">
      <selection activeCell="A50" sqref="A50"/>
    </sheetView>
  </sheetViews>
  <sheetFormatPr defaultRowHeight="15" x14ac:dyDescent="0.25"/>
  <cols>
    <col min="1" max="1" width="51.42578125" customWidth="1"/>
    <col min="2" max="2" width="11.5703125" bestFit="1" customWidth="1"/>
    <col min="3" max="3" width="11.28515625" bestFit="1" customWidth="1"/>
    <col min="4" max="4" width="11.5703125" bestFit="1" customWidth="1"/>
    <col min="5" max="8" width="11.28515625" bestFit="1" customWidth="1"/>
    <col min="10" max="10" width="12.5703125" bestFit="1" customWidth="1"/>
  </cols>
  <sheetData>
    <row r="4" spans="1:10" x14ac:dyDescent="0.25">
      <c r="A4" s="15" t="s">
        <v>56</v>
      </c>
      <c r="H4" s="2"/>
    </row>
    <row r="5" spans="1:10" x14ac:dyDescent="0.25">
      <c r="B5" s="19">
        <v>2015</v>
      </c>
      <c r="C5" s="19">
        <v>2016</v>
      </c>
      <c r="D5" s="19">
        <v>2017</v>
      </c>
      <c r="E5" s="19">
        <v>2018</v>
      </c>
      <c r="F5" s="19">
        <v>2019</v>
      </c>
      <c r="G5" s="19">
        <v>2020</v>
      </c>
      <c r="H5" s="19">
        <v>2021</v>
      </c>
    </row>
    <row r="6" spans="1:10" x14ac:dyDescent="0.25">
      <c r="A6" t="s">
        <v>59</v>
      </c>
      <c r="B6" s="17">
        <f>+'CFG Liability'!C77</f>
        <v>33465.679999999993</v>
      </c>
      <c r="C6" s="18">
        <f>+B19</f>
        <v>22459.799999999996</v>
      </c>
      <c r="D6" s="18">
        <f t="shared" ref="D6:H6" si="0">+C19</f>
        <v>33952.679999999993</v>
      </c>
      <c r="E6" s="18">
        <f t="shared" si="0"/>
        <v>48352.679999999993</v>
      </c>
      <c r="F6" s="18">
        <f t="shared" si="0"/>
        <v>62752.679999999993</v>
      </c>
      <c r="G6" s="18">
        <f t="shared" si="0"/>
        <v>28799.999999999993</v>
      </c>
      <c r="H6" s="18">
        <f t="shared" si="0"/>
        <v>28799.999999999993</v>
      </c>
    </row>
    <row r="7" spans="1:10" x14ac:dyDescent="0.25">
      <c r="A7" t="s">
        <v>13</v>
      </c>
      <c r="B7" s="13">
        <v>15600</v>
      </c>
      <c r="C7" s="13">
        <v>14400</v>
      </c>
      <c r="D7" s="13">
        <f t="shared" ref="D7:G7" si="1">1200*12</f>
        <v>14400</v>
      </c>
      <c r="E7" s="13">
        <f t="shared" si="1"/>
        <v>14400</v>
      </c>
      <c r="F7" s="13">
        <f t="shared" si="1"/>
        <v>14400</v>
      </c>
      <c r="G7" s="13">
        <f t="shared" si="1"/>
        <v>14400</v>
      </c>
      <c r="H7" s="13">
        <f>1200*12</f>
        <v>14400</v>
      </c>
      <c r="J7">
        <f>+G7/12</f>
        <v>1200</v>
      </c>
    </row>
    <row r="8" spans="1:10" x14ac:dyDescent="0.25">
      <c r="A8" t="s">
        <v>48</v>
      </c>
      <c r="B8" s="13"/>
      <c r="C8" s="13"/>
      <c r="D8" s="13"/>
      <c r="E8" s="13"/>
      <c r="F8" s="13"/>
      <c r="G8" s="13"/>
      <c r="H8" s="13"/>
    </row>
    <row r="9" spans="1:10" x14ac:dyDescent="0.25">
      <c r="A9" s="11" t="s">
        <v>31</v>
      </c>
      <c r="B9" s="13"/>
      <c r="C9" s="13"/>
      <c r="D9" s="13"/>
      <c r="E9" s="13"/>
      <c r="F9" s="13"/>
      <c r="G9" s="13"/>
      <c r="H9" s="13"/>
    </row>
    <row r="10" spans="1:10" x14ac:dyDescent="0.25">
      <c r="A10" s="11" t="s">
        <v>22</v>
      </c>
      <c r="B10" s="13">
        <f>+'CFG Liability'!P81</f>
        <v>-23880.42</v>
      </c>
      <c r="C10" s="13">
        <f>+'CFG Liability'!P69</f>
        <v>-1798.12</v>
      </c>
      <c r="D10" s="13"/>
      <c r="E10" s="13"/>
      <c r="F10" s="13"/>
      <c r="G10" s="13"/>
      <c r="H10" s="13"/>
    </row>
    <row r="11" spans="1:10" x14ac:dyDescent="0.25">
      <c r="A11" t="s">
        <v>49</v>
      </c>
      <c r="B11" s="13"/>
      <c r="C11" s="13"/>
      <c r="D11" s="13"/>
      <c r="E11" s="13"/>
      <c r="F11" s="13"/>
      <c r="G11" s="13"/>
      <c r="H11" s="13"/>
    </row>
    <row r="12" spans="1:10" x14ac:dyDescent="0.25">
      <c r="A12" s="11" t="s">
        <v>50</v>
      </c>
      <c r="B12" s="13"/>
      <c r="C12" s="13"/>
      <c r="D12" s="13"/>
      <c r="E12" s="13"/>
      <c r="F12" s="13"/>
      <c r="G12" s="13"/>
      <c r="H12" s="13"/>
    </row>
    <row r="13" spans="1:10" x14ac:dyDescent="0.25">
      <c r="A13" s="11" t="s">
        <v>51</v>
      </c>
      <c r="B13" s="13">
        <f>+'CFG Liability'!P78</f>
        <v>-2725.46</v>
      </c>
      <c r="C13" s="13"/>
      <c r="D13" s="13"/>
      <c r="E13" s="13"/>
      <c r="F13" s="13"/>
      <c r="G13" s="13"/>
      <c r="H13" s="13"/>
    </row>
    <row r="14" spans="1:10" x14ac:dyDescent="0.25">
      <c r="A14" s="11" t="s">
        <v>53</v>
      </c>
      <c r="B14" s="13"/>
      <c r="C14" s="13">
        <f>+'CFG Liability'!P67</f>
        <v>-1109</v>
      </c>
      <c r="D14" s="13"/>
      <c r="E14" s="13"/>
      <c r="F14" s="13"/>
      <c r="G14" s="13"/>
      <c r="H14" s="13"/>
    </row>
    <row r="15" spans="1:10" x14ac:dyDescent="0.25">
      <c r="A15" s="12" t="s">
        <v>52</v>
      </c>
      <c r="B15" s="13"/>
      <c r="C15" s="13"/>
      <c r="D15" s="13"/>
      <c r="E15" s="13"/>
      <c r="F15" s="13"/>
      <c r="G15" s="13"/>
      <c r="H15" s="13"/>
    </row>
    <row r="16" spans="1:10" x14ac:dyDescent="0.25">
      <c r="A16" t="s">
        <v>54</v>
      </c>
      <c r="B16" s="13"/>
      <c r="C16" s="13"/>
      <c r="D16" s="13"/>
      <c r="E16" s="13"/>
      <c r="F16" s="13">
        <f>+'CFG Liability'!D38</f>
        <v>-48352.68</v>
      </c>
      <c r="G16" s="13">
        <f>+'CFG Liability'!P27</f>
        <v>-14400</v>
      </c>
      <c r="H16" s="13">
        <f>+'CFG Liability'!P16</f>
        <v>-43200</v>
      </c>
    </row>
    <row r="17" spans="1:8" x14ac:dyDescent="0.25">
      <c r="A17" s="12" t="s">
        <v>55</v>
      </c>
      <c r="B17" s="13"/>
      <c r="C17" s="13"/>
      <c r="D17" s="13"/>
      <c r="E17" s="13"/>
      <c r="F17" s="13"/>
      <c r="G17" s="13"/>
      <c r="H17" s="13"/>
    </row>
    <row r="18" spans="1:8" x14ac:dyDescent="0.25">
      <c r="B18" s="13"/>
      <c r="C18" s="13"/>
      <c r="D18" s="13"/>
      <c r="E18" s="13"/>
      <c r="F18" s="13"/>
      <c r="G18" s="13"/>
      <c r="H18" s="13"/>
    </row>
    <row r="19" spans="1:8" ht="15.75" thickBot="1" x14ac:dyDescent="0.3">
      <c r="A19" t="s">
        <v>60</v>
      </c>
      <c r="B19" s="14">
        <f>SUM(B6:B18)</f>
        <v>22459.799999999996</v>
      </c>
      <c r="C19" s="14">
        <f t="shared" ref="C19:H19" si="2">SUM(C6:C18)</f>
        <v>33952.679999999993</v>
      </c>
      <c r="D19" s="14">
        <f t="shared" si="2"/>
        <v>48352.679999999993</v>
      </c>
      <c r="E19" s="14">
        <f t="shared" si="2"/>
        <v>62752.679999999993</v>
      </c>
      <c r="F19" s="14">
        <f t="shared" si="2"/>
        <v>28799.999999999993</v>
      </c>
      <c r="G19" s="14">
        <f t="shared" si="2"/>
        <v>28799.999999999993</v>
      </c>
      <c r="H19" s="14">
        <f t="shared" si="2"/>
        <v>0</v>
      </c>
    </row>
    <row r="20" spans="1:8" ht="15.75" thickTop="1" x14ac:dyDescent="0.25">
      <c r="B20" s="13"/>
      <c r="C20" s="13"/>
      <c r="D20" s="13"/>
      <c r="E20" s="13"/>
      <c r="F20" s="13"/>
      <c r="G20" s="13"/>
      <c r="H20" s="13"/>
    </row>
    <row r="21" spans="1:8" x14ac:dyDescent="0.25">
      <c r="B21" s="13"/>
      <c r="C21" s="13"/>
      <c r="D21" s="13"/>
      <c r="E21" s="13"/>
      <c r="F21" s="13"/>
      <c r="G21" s="13"/>
      <c r="H21" s="13"/>
    </row>
    <row r="22" spans="1:8" x14ac:dyDescent="0.25">
      <c r="B22" s="13"/>
      <c r="C22" s="13"/>
      <c r="D22" s="13"/>
      <c r="E22" s="13"/>
      <c r="F22" s="13"/>
      <c r="G22" s="13"/>
      <c r="H22" s="13"/>
    </row>
    <row r="23" spans="1:8" x14ac:dyDescent="0.25">
      <c r="B23" s="13"/>
      <c r="C23" s="13"/>
      <c r="D23" s="13"/>
      <c r="E23" s="13"/>
      <c r="F23" s="13"/>
      <c r="G23" s="13"/>
      <c r="H23" s="13"/>
    </row>
    <row r="24" spans="1:8" x14ac:dyDescent="0.25">
      <c r="A24" s="15" t="s">
        <v>57</v>
      </c>
      <c r="H24" s="2" t="s">
        <v>10</v>
      </c>
    </row>
    <row r="25" spans="1:8" x14ac:dyDescent="0.25">
      <c r="B25" s="19">
        <v>2015</v>
      </c>
      <c r="C25" s="19">
        <v>2016</v>
      </c>
      <c r="D25" s="19">
        <v>2017</v>
      </c>
      <c r="E25" s="19">
        <v>2018</v>
      </c>
      <c r="F25" s="19">
        <v>2019</v>
      </c>
      <c r="G25" s="19">
        <v>2020</v>
      </c>
      <c r="H25" s="19">
        <v>2021</v>
      </c>
    </row>
    <row r="26" spans="1:8" x14ac:dyDescent="0.25">
      <c r="A26" t="s">
        <v>59</v>
      </c>
      <c r="B26" s="16"/>
      <c r="C26" s="16"/>
      <c r="D26" s="17">
        <f>+'CFG Asset'!C79</f>
        <v>112707.48000000001</v>
      </c>
      <c r="E26" s="18">
        <f>+D40</f>
        <v>112707.48000000001</v>
      </c>
      <c r="F26" s="18">
        <f t="shared" ref="F26:H26" si="3">+E40</f>
        <v>112707.48000000001</v>
      </c>
      <c r="G26" s="18">
        <f t="shared" si="3"/>
        <v>64354.80000000001</v>
      </c>
      <c r="H26" s="18">
        <f t="shared" si="3"/>
        <v>49954.80000000001</v>
      </c>
    </row>
    <row r="27" spans="1:8" x14ac:dyDescent="0.25">
      <c r="A27" t="s">
        <v>13</v>
      </c>
      <c r="B27" s="13"/>
      <c r="C27" s="13"/>
      <c r="D27" s="13"/>
      <c r="E27" s="13"/>
      <c r="F27" s="13"/>
      <c r="G27" s="13"/>
      <c r="H27" s="13"/>
    </row>
    <row r="28" spans="1:8" x14ac:dyDescent="0.25">
      <c r="A28" t="s">
        <v>48</v>
      </c>
      <c r="B28" s="13"/>
      <c r="C28" s="13"/>
      <c r="D28" s="13"/>
      <c r="E28" s="13"/>
      <c r="F28" s="13"/>
      <c r="G28" s="13"/>
      <c r="H28" s="13"/>
    </row>
    <row r="29" spans="1:8" x14ac:dyDescent="0.25">
      <c r="A29" s="11" t="s">
        <v>31</v>
      </c>
      <c r="B29" s="13"/>
      <c r="C29" s="13"/>
      <c r="D29" s="13"/>
      <c r="E29" s="13"/>
      <c r="F29" s="13"/>
      <c r="G29" s="13"/>
      <c r="H29" s="13"/>
    </row>
    <row r="30" spans="1:8" x14ac:dyDescent="0.25">
      <c r="A30" s="11" t="s">
        <v>22</v>
      </c>
      <c r="B30" s="13"/>
      <c r="C30" s="13"/>
      <c r="D30" s="13"/>
      <c r="E30" s="13"/>
      <c r="F30" s="13"/>
      <c r="G30" s="13"/>
      <c r="H30" s="13"/>
    </row>
    <row r="31" spans="1:8" x14ac:dyDescent="0.25">
      <c r="A31" s="11" t="s">
        <v>47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</row>
    <row r="32" spans="1:8" x14ac:dyDescent="0.25">
      <c r="A32" t="s">
        <v>49</v>
      </c>
      <c r="B32" s="13"/>
      <c r="C32" s="13"/>
      <c r="D32" s="13"/>
      <c r="E32" s="13"/>
      <c r="F32" s="13"/>
      <c r="G32" s="13"/>
      <c r="H32" s="13"/>
    </row>
    <row r="33" spans="1:10" x14ac:dyDescent="0.25">
      <c r="A33" s="11" t="s">
        <v>50</v>
      </c>
      <c r="B33" s="13"/>
      <c r="C33" s="13"/>
      <c r="D33" s="13"/>
      <c r="E33" s="13"/>
      <c r="F33" s="13"/>
      <c r="G33" s="13"/>
      <c r="H33" s="13"/>
    </row>
    <row r="34" spans="1:10" x14ac:dyDescent="0.25">
      <c r="A34" s="11" t="s">
        <v>51</v>
      </c>
      <c r="B34" s="13"/>
      <c r="C34" s="13"/>
      <c r="D34" s="13"/>
      <c r="E34" s="13"/>
      <c r="F34" s="13"/>
      <c r="G34" s="13"/>
      <c r="H34" s="13"/>
    </row>
    <row r="35" spans="1:10" x14ac:dyDescent="0.25">
      <c r="A35" s="11" t="s">
        <v>53</v>
      </c>
      <c r="B35" s="13"/>
      <c r="C35" s="13"/>
      <c r="D35" s="13"/>
      <c r="E35" s="13"/>
      <c r="F35" s="13"/>
      <c r="G35" s="13"/>
      <c r="H35" s="13"/>
    </row>
    <row r="36" spans="1:10" x14ac:dyDescent="0.25">
      <c r="A36" s="12" t="s">
        <v>52</v>
      </c>
      <c r="B36" s="13"/>
      <c r="C36" s="13"/>
      <c r="D36" s="13"/>
      <c r="E36" s="13"/>
      <c r="F36" s="13"/>
      <c r="G36" s="13"/>
      <c r="H36" s="13"/>
    </row>
    <row r="37" spans="1:10" x14ac:dyDescent="0.25">
      <c r="A37" t="s">
        <v>58</v>
      </c>
      <c r="B37" s="13"/>
      <c r="C37" s="13"/>
      <c r="D37" s="13"/>
      <c r="E37" s="13"/>
      <c r="F37" s="13">
        <f>'CFG Asset'!P34</f>
        <v>-48352.68</v>
      </c>
      <c r="G37" s="13">
        <f>'CFG Asset'!P23</f>
        <v>-14400</v>
      </c>
      <c r="H37" s="13">
        <f>'CFG Asset'!P12</f>
        <v>-43200</v>
      </c>
    </row>
    <row r="38" spans="1:10" x14ac:dyDescent="0.25">
      <c r="A38" s="12" t="s">
        <v>55</v>
      </c>
      <c r="B38" s="13"/>
      <c r="C38" s="13"/>
      <c r="D38" s="13"/>
      <c r="E38" s="13"/>
      <c r="F38" s="13"/>
      <c r="G38" s="13"/>
      <c r="H38" s="13"/>
    </row>
    <row r="39" spans="1:10" x14ac:dyDescent="0.25">
      <c r="B39" s="13"/>
      <c r="C39" s="13"/>
      <c r="D39" s="13"/>
      <c r="E39" s="13"/>
      <c r="F39" s="13"/>
      <c r="G39" s="13"/>
      <c r="H39" s="13"/>
    </row>
    <row r="40" spans="1:10" ht="15.75" thickBot="1" x14ac:dyDescent="0.3">
      <c r="A40" t="s">
        <v>60</v>
      </c>
      <c r="B40" s="14">
        <f>SUM(B26:B39)</f>
        <v>0</v>
      </c>
      <c r="C40" s="14">
        <f t="shared" ref="C40:H40" si="4">SUM(C26:C39)</f>
        <v>0</v>
      </c>
      <c r="D40" s="14">
        <f t="shared" si="4"/>
        <v>112707.48000000001</v>
      </c>
      <c r="E40" s="14">
        <f t="shared" si="4"/>
        <v>112707.48000000001</v>
      </c>
      <c r="F40" s="14">
        <f t="shared" si="4"/>
        <v>64354.80000000001</v>
      </c>
      <c r="G40" s="14">
        <f t="shared" si="4"/>
        <v>49954.80000000001</v>
      </c>
      <c r="H40" s="14">
        <f t="shared" si="4"/>
        <v>6754.8000000000102</v>
      </c>
    </row>
    <row r="41" spans="1:10" ht="15.75" thickTop="1" x14ac:dyDescent="0.25">
      <c r="B41" s="13"/>
      <c r="C41" s="13"/>
      <c r="D41" s="13"/>
      <c r="E41" s="13"/>
      <c r="F41" s="13"/>
      <c r="G41" s="13"/>
      <c r="H41" s="13"/>
    </row>
    <row r="45" spans="1:10" x14ac:dyDescent="0.25">
      <c r="A45" s="15" t="s">
        <v>62</v>
      </c>
      <c r="H45" s="2"/>
    </row>
    <row r="46" spans="1:10" x14ac:dyDescent="0.25">
      <c r="B46" s="19">
        <v>2015</v>
      </c>
      <c r="C46" s="19">
        <v>2016</v>
      </c>
      <c r="D46" s="19">
        <v>2017</v>
      </c>
      <c r="E46" s="19">
        <v>2018</v>
      </c>
      <c r="F46" s="19">
        <v>2019</v>
      </c>
      <c r="G46" s="19">
        <v>2020</v>
      </c>
      <c r="H46" s="19">
        <v>2021</v>
      </c>
      <c r="J46" s="15" t="s">
        <v>61</v>
      </c>
    </row>
    <row r="47" spans="1:10" x14ac:dyDescent="0.25">
      <c r="A47" t="s">
        <v>59</v>
      </c>
      <c r="B47" s="17">
        <f>+'FN Liability'!C102</f>
        <v>114796.9</v>
      </c>
      <c r="C47" s="18">
        <f t="shared" ref="C47:H47" si="5">+B61</f>
        <v>128734.72</v>
      </c>
      <c r="D47" s="18">
        <f t="shared" si="5"/>
        <v>4621.3300000000345</v>
      </c>
      <c r="E47" s="18">
        <f t="shared" si="5"/>
        <v>45826.440000000061</v>
      </c>
      <c r="F47" s="18">
        <f t="shared" si="5"/>
        <v>66427.780000000057</v>
      </c>
      <c r="G47" s="18">
        <f t="shared" si="5"/>
        <v>104874.73000000005</v>
      </c>
      <c r="H47" s="18">
        <f t="shared" si="5"/>
        <v>-3069.9999999998927</v>
      </c>
    </row>
    <row r="48" spans="1:10" x14ac:dyDescent="0.25">
      <c r="A48" t="s">
        <v>13</v>
      </c>
      <c r="B48" s="13">
        <f>+'FN Liability'!D102*12</f>
        <v>126848.04000000001</v>
      </c>
      <c r="C48" s="13">
        <v>126848.04000000001</v>
      </c>
      <c r="D48" s="13">
        <v>126848.04000000001</v>
      </c>
      <c r="E48" s="13">
        <v>126848.04000000001</v>
      </c>
      <c r="F48" s="13">
        <v>126848.04000000001</v>
      </c>
      <c r="G48" s="13">
        <v>126848.04000000001</v>
      </c>
      <c r="H48" s="13">
        <f>+'FN Liability'!P9</f>
        <v>126848.04000000053</v>
      </c>
      <c r="J48" s="13">
        <f>AVERAGE(B48:H48)</f>
        <v>126848.04000000008</v>
      </c>
    </row>
    <row r="49" spans="1:10" x14ac:dyDescent="0.25">
      <c r="A49" t="s">
        <v>48</v>
      </c>
      <c r="B49" s="13"/>
      <c r="C49" s="13"/>
      <c r="D49" s="13"/>
      <c r="E49" s="13"/>
      <c r="F49" s="13"/>
      <c r="G49" s="13"/>
      <c r="H49" s="13"/>
    </row>
    <row r="50" spans="1:10" x14ac:dyDescent="0.25">
      <c r="A50" s="11" t="s">
        <v>31</v>
      </c>
      <c r="B50" s="13">
        <f>+'FN Liability'!P107</f>
        <v>0</v>
      </c>
      <c r="C50" s="13">
        <f>+'FN Liability'!P94</f>
        <v>-27381.86</v>
      </c>
      <c r="D50" s="13">
        <f>+'FN Liability'!P79</f>
        <v>-48681.97</v>
      </c>
      <c r="E50" s="13">
        <f>+'FN Liability'!P64</f>
        <v>-27186.81</v>
      </c>
      <c r="F50" s="13">
        <f>+'FN Liability'!P49</f>
        <v>-49728.57</v>
      </c>
      <c r="G50" s="13">
        <f>+'FN Liability'!P34</f>
        <v>-168212.02999999997</v>
      </c>
      <c r="H50" s="13">
        <f>+'FN Liability'!P17</f>
        <v>-55475.979999999996</v>
      </c>
      <c r="J50" s="13">
        <f>AVERAGE(B50:H50)</f>
        <v>-53809.602857142854</v>
      </c>
    </row>
    <row r="51" spans="1:10" x14ac:dyDescent="0.25">
      <c r="A51" s="11" t="s">
        <v>22</v>
      </c>
      <c r="B51" s="13">
        <f>+'FN Liability'!P106</f>
        <v>-112508.16</v>
      </c>
      <c r="C51" s="13">
        <f>+'FN Liability'!P93</f>
        <v>-220088.27</v>
      </c>
      <c r="D51" s="13">
        <f>+'FN Liability'!P78</f>
        <v>-31005.459999999995</v>
      </c>
      <c r="E51" s="13">
        <f>+'FN Liability'!P63</f>
        <v>-72182.48000000001</v>
      </c>
      <c r="F51" s="13">
        <f>+'FN Liability'!P48</f>
        <v>-8517.4399999999987</v>
      </c>
      <c r="G51" s="13">
        <f>+'FN Liability'!P33</f>
        <v>-62299.93</v>
      </c>
      <c r="H51" s="13">
        <v>0</v>
      </c>
      <c r="J51" s="13">
        <f t="shared" ref="J51:J59" si="6">AVERAGE(B51:H51)</f>
        <v>-72371.677142857137</v>
      </c>
    </row>
    <row r="52" spans="1:10" x14ac:dyDescent="0.25">
      <c r="A52" s="11" t="s">
        <v>47</v>
      </c>
      <c r="G52" s="21">
        <f>+'FN Liability'!N18</f>
        <v>-3070</v>
      </c>
      <c r="H52" s="4">
        <f>+'FN Liability'!O18</f>
        <v>-3070</v>
      </c>
      <c r="J52" s="13">
        <f>AVERAGE(B52:H52)</f>
        <v>-3070</v>
      </c>
    </row>
    <row r="53" spans="1:10" x14ac:dyDescent="0.25">
      <c r="A53" t="s">
        <v>49</v>
      </c>
      <c r="B53" s="13"/>
      <c r="C53" s="13"/>
      <c r="D53" s="13"/>
      <c r="E53" s="13"/>
      <c r="F53" s="13"/>
      <c r="G53" s="13"/>
      <c r="H53" s="13"/>
      <c r="J53" s="13"/>
    </row>
    <row r="54" spans="1:10" x14ac:dyDescent="0.25">
      <c r="A54" s="11" t="s">
        <v>50</v>
      </c>
      <c r="B54" s="13">
        <f>+'FN Liability'!P103+'FN Liability'!P104+'FN Liability'!P105</f>
        <v>-402.06</v>
      </c>
      <c r="C54" s="13">
        <f>+'FN Liability'!P89+'FN Liability'!P90+'FN Liability'!P92</f>
        <v>-2248.23</v>
      </c>
      <c r="D54" s="13">
        <f>+'FN Liability'!P74+'FN Liability'!P75+'FN Liability'!P77</f>
        <v>-4566.9800000000005</v>
      </c>
      <c r="E54" s="13">
        <f>+'FN Liability'!P60+'FN Liability'!P62</f>
        <v>-6877.41</v>
      </c>
      <c r="F54" s="13">
        <f>+'FN Liability'!P47+'FN Liability'!P44+'FN Liability'!P45</f>
        <v>-27655.08</v>
      </c>
      <c r="G54" s="13">
        <f>+'FN Liability'!P32</f>
        <v>-4226.58</v>
      </c>
      <c r="H54" s="13">
        <f>+'FN Liability'!P15</f>
        <v>-9427.1</v>
      </c>
      <c r="J54" s="13">
        <f t="shared" si="6"/>
        <v>-7914.7771428571432</v>
      </c>
    </row>
    <row r="55" spans="1:10" x14ac:dyDescent="0.25">
      <c r="A55" s="11" t="s">
        <v>51</v>
      </c>
      <c r="B55" s="13"/>
      <c r="C55" s="13"/>
      <c r="D55" s="13">
        <f>+'FN Liability'!P76</f>
        <v>-5044.8600000000006</v>
      </c>
      <c r="E55" s="13">
        <f>+'FN Liability'!P61</f>
        <v>-529.94000000000005</v>
      </c>
      <c r="F55" s="13">
        <f>+'FN Liability'!P46</f>
        <v>-2500</v>
      </c>
      <c r="G55" s="13">
        <f>+'FN Liability'!P31</f>
        <v>-2000</v>
      </c>
      <c r="H55" s="13"/>
      <c r="J55" s="13">
        <f t="shared" si="6"/>
        <v>-2518.7000000000003</v>
      </c>
    </row>
    <row r="56" spans="1:10" x14ac:dyDescent="0.25">
      <c r="A56" s="11" t="s">
        <v>53</v>
      </c>
      <c r="B56" s="13"/>
      <c r="C56" s="13">
        <f>+'FN Liability'!P91</f>
        <v>-2500</v>
      </c>
      <c r="D56" s="13"/>
      <c r="E56" s="13"/>
      <c r="F56" s="13"/>
      <c r="G56" s="13">
        <f>+'FN Liability'!P28</f>
        <v>-1172.6400000000001</v>
      </c>
      <c r="H56" s="13">
        <f>+'FN Liability'!P10</f>
        <v>-11186.84</v>
      </c>
      <c r="J56" s="13">
        <f t="shared" si="6"/>
        <v>-4953.16</v>
      </c>
    </row>
    <row r="57" spans="1:10" x14ac:dyDescent="0.25">
      <c r="A57" s="12" t="s">
        <v>52</v>
      </c>
      <c r="B57" s="13"/>
      <c r="C57" s="13">
        <f>+'FN Liability'!P95</f>
        <v>1256.9299999999998</v>
      </c>
      <c r="D57" s="13">
        <f>+'FN Liability'!P83+'FN Liability'!P82+'FN Liability'!P81</f>
        <v>3656.34</v>
      </c>
      <c r="E57" s="13">
        <f>+'FN Liability'!P66</f>
        <v>529.94000000000005</v>
      </c>
      <c r="F57" s="13"/>
      <c r="G57" s="13">
        <f>+'FN Liability'!P38</f>
        <v>1485.17</v>
      </c>
      <c r="H57" s="13"/>
      <c r="J57" s="13">
        <f t="shared" si="6"/>
        <v>1732.0950000000003</v>
      </c>
    </row>
    <row r="58" spans="1:10" x14ac:dyDescent="0.25">
      <c r="A58" t="s">
        <v>58</v>
      </c>
      <c r="B58" s="13"/>
      <c r="C58" s="13"/>
      <c r="D58" s="13"/>
      <c r="E58" s="13"/>
      <c r="F58" s="13">
        <f>'CFG Asset'!P54</f>
        <v>0</v>
      </c>
      <c r="G58" s="13">
        <f>'CFG Asset'!P43</f>
        <v>0</v>
      </c>
      <c r="H58" s="13">
        <f>'CFG Asset'!P32</f>
        <v>0</v>
      </c>
      <c r="J58" s="13"/>
    </row>
    <row r="59" spans="1:10" x14ac:dyDescent="0.25">
      <c r="A59" s="12" t="s">
        <v>55</v>
      </c>
      <c r="B59" s="13"/>
      <c r="C59" s="13"/>
      <c r="D59" s="13"/>
      <c r="E59" s="13"/>
      <c r="F59" s="13"/>
      <c r="G59" s="13">
        <f>+'FN Liability'!P39</f>
        <v>4703.24</v>
      </c>
      <c r="H59" s="13">
        <f>+'FN Liability'!P23</f>
        <v>0</v>
      </c>
      <c r="J59" s="13">
        <f t="shared" si="6"/>
        <v>2351.62</v>
      </c>
    </row>
    <row r="60" spans="1:10" x14ac:dyDescent="0.25">
      <c r="B60" s="13"/>
      <c r="C60" s="13"/>
      <c r="D60" s="13"/>
      <c r="E60" s="13"/>
      <c r="F60" s="13"/>
      <c r="G60" s="13"/>
      <c r="H60" s="13"/>
    </row>
    <row r="61" spans="1:10" ht="15.75" thickBot="1" x14ac:dyDescent="0.3">
      <c r="A61" t="s">
        <v>60</v>
      </c>
      <c r="B61" s="14">
        <f>SUM(B47:B60)</f>
        <v>128734.72</v>
      </c>
      <c r="C61" s="14">
        <f t="shared" ref="C61" si="7">SUM(C47:C60)</f>
        <v>4621.3300000000345</v>
      </c>
      <c r="D61" s="14">
        <f t="shared" ref="D61" si="8">SUM(D47:D60)</f>
        <v>45826.440000000061</v>
      </c>
      <c r="E61" s="14">
        <f t="shared" ref="E61" si="9">SUM(E47:E60)</f>
        <v>66427.780000000057</v>
      </c>
      <c r="F61" s="14">
        <f t="shared" ref="F61" si="10">SUM(F47:F60)</f>
        <v>104874.73000000005</v>
      </c>
      <c r="G61" s="14">
        <f t="shared" ref="G61" si="11">SUM(G47:G60)</f>
        <v>-3069.9999999998927</v>
      </c>
      <c r="H61" s="14">
        <f t="shared" ref="H61" si="12">SUM(H47:H60)</f>
        <v>44618.120000000636</v>
      </c>
      <c r="J61" s="14">
        <f>SUM(J48:J60)</f>
        <v>-13706.162142857047</v>
      </c>
    </row>
    <row r="62" spans="1:10" ht="15.75" thickTop="1" x14ac:dyDescent="0.25">
      <c r="B62" s="22"/>
      <c r="C62" s="22"/>
      <c r="D62" s="22"/>
      <c r="E62" s="22"/>
      <c r="F62" s="22"/>
      <c r="G62" s="22"/>
      <c r="H62" s="22"/>
      <c r="J62" s="22"/>
    </row>
    <row r="63" spans="1:10" x14ac:dyDescent="0.25">
      <c r="A63" t="s">
        <v>63</v>
      </c>
      <c r="B63" s="13"/>
      <c r="C63" s="13"/>
      <c r="D63" s="13"/>
      <c r="E63" s="13"/>
      <c r="F63" s="13"/>
      <c r="G63" s="13"/>
      <c r="H63" s="13"/>
    </row>
    <row r="64" spans="1:10" ht="17.25" x14ac:dyDescent="0.25">
      <c r="A64" s="11" t="s">
        <v>64</v>
      </c>
      <c r="B64" s="20">
        <v>-250858</v>
      </c>
      <c r="C64" s="20">
        <v>-255734</v>
      </c>
      <c r="D64" s="20">
        <v>-107728.52</v>
      </c>
      <c r="E64" s="20">
        <v>0</v>
      </c>
      <c r="F64" s="20">
        <v>-34871.64</v>
      </c>
      <c r="G64" s="20">
        <f>-37454.16+G52</f>
        <v>-40524.160000000003</v>
      </c>
      <c r="H64" s="20">
        <v>-1514.88</v>
      </c>
      <c r="J64" s="13">
        <f>AVERAGE(B64:H64)</f>
        <v>-98747.314285714296</v>
      </c>
    </row>
    <row r="66" spans="1:10" ht="15.75" thickBot="1" x14ac:dyDescent="0.3">
      <c r="A66" t="s">
        <v>71</v>
      </c>
      <c r="B66" s="14">
        <f>+B61+B64</f>
        <v>-122123.28</v>
      </c>
      <c r="C66" s="14">
        <f t="shared" ref="C66:H66" si="13">+C61+C64</f>
        <v>-251112.66999999995</v>
      </c>
      <c r="D66" s="14">
        <f t="shared" si="13"/>
        <v>-61902.079999999944</v>
      </c>
      <c r="E66" s="14">
        <f t="shared" si="13"/>
        <v>66427.780000000057</v>
      </c>
      <c r="F66" s="14">
        <f t="shared" si="13"/>
        <v>70003.090000000055</v>
      </c>
      <c r="G66" s="14">
        <f t="shared" si="13"/>
        <v>-43594.159999999894</v>
      </c>
      <c r="H66" s="14">
        <f t="shared" si="13"/>
        <v>43103.240000000638</v>
      </c>
      <c r="J66" s="14">
        <f>+J61+J64</f>
        <v>-112453.47642857135</v>
      </c>
    </row>
    <row r="67" spans="1:10" ht="15.75" thickTop="1" x14ac:dyDescent="0.25"/>
    <row r="68" spans="1:10" ht="17.25" x14ac:dyDescent="0.25">
      <c r="A68" t="s">
        <v>65</v>
      </c>
    </row>
    <row r="71" spans="1:10" x14ac:dyDescent="0.25">
      <c r="A71" s="7" t="s">
        <v>66</v>
      </c>
    </row>
    <row r="72" spans="1:10" x14ac:dyDescent="0.25">
      <c r="A72" t="s">
        <v>72</v>
      </c>
      <c r="J72" s="13">
        <f>+G48</f>
        <v>126848.04000000001</v>
      </c>
    </row>
    <row r="73" spans="1:10" x14ac:dyDescent="0.25">
      <c r="A73" t="s">
        <v>67</v>
      </c>
      <c r="J73" s="13">
        <f>-J61</f>
        <v>13706.162142857047</v>
      </c>
    </row>
    <row r="74" spans="1:10" x14ac:dyDescent="0.25">
      <c r="A74" t="s">
        <v>68</v>
      </c>
      <c r="J74" s="23">
        <f>-J64</f>
        <v>98747.314285714296</v>
      </c>
    </row>
    <row r="75" spans="1:10" x14ac:dyDescent="0.25">
      <c r="A75" t="s">
        <v>12</v>
      </c>
      <c r="J75" s="13">
        <f>SUM(J72:J74)</f>
        <v>239301.51642857134</v>
      </c>
    </row>
    <row r="76" spans="1:10" x14ac:dyDescent="0.25">
      <c r="A76" t="s">
        <v>69</v>
      </c>
      <c r="J76" s="24">
        <v>0.04</v>
      </c>
    </row>
    <row r="77" spans="1:10" ht="15.75" thickBot="1" x14ac:dyDescent="0.3">
      <c r="A77" t="s">
        <v>70</v>
      </c>
      <c r="J77" s="25">
        <f>+J75*(1+J76)</f>
        <v>248873.57708571421</v>
      </c>
    </row>
    <row r="78" spans="1:10" ht="15.75" thickTop="1" x14ac:dyDescent="0.25"/>
  </sheetData>
  <pageMargins left="0.7" right="0.7" top="0.75" bottom="0.75" header="0.3" footer="0.3"/>
  <pageSetup orientation="portrait" r:id="rId1"/>
  <ignoredErrors>
    <ignoredError sqref="B40:H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pane ySplit="1" topLeftCell="A80" activePane="bottomLeft" state="frozen"/>
      <selection pane="bottomLeft" activeCell="O17" sqref="O17"/>
    </sheetView>
  </sheetViews>
  <sheetFormatPr defaultRowHeight="15" x14ac:dyDescent="0.25"/>
  <cols>
    <col min="2" max="2" width="27.42578125" customWidth="1"/>
    <col min="3" max="3" width="12.7109375" customWidth="1"/>
    <col min="4" max="6" width="11.28515625" style="1" bestFit="1" customWidth="1"/>
    <col min="7" max="14" width="10.28515625" style="1" bestFit="1" customWidth="1"/>
    <col min="15" max="16" width="12.28515625" style="1" bestFit="1" customWidth="1"/>
  </cols>
  <sheetData>
    <row r="1" spans="1:16" x14ac:dyDescent="0.25">
      <c r="A1" t="s">
        <v>27</v>
      </c>
    </row>
    <row r="2" spans="1:16" x14ac:dyDescent="0.25">
      <c r="A2" t="s">
        <v>26</v>
      </c>
    </row>
    <row r="8" spans="1:16" x14ac:dyDescent="0.25">
      <c r="C8" t="s">
        <v>19</v>
      </c>
      <c r="D8" s="1" t="s">
        <v>0</v>
      </c>
      <c r="E8" s="1" t="s">
        <v>1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8</v>
      </c>
      <c r="M8" s="1" t="s">
        <v>9</v>
      </c>
      <c r="N8" s="1" t="s">
        <v>10</v>
      </c>
      <c r="O8" s="1" t="s">
        <v>11</v>
      </c>
      <c r="P8" s="1" t="s">
        <v>12</v>
      </c>
    </row>
    <row r="9" spans="1:16" x14ac:dyDescent="0.25">
      <c r="A9" s="2">
        <v>2021</v>
      </c>
      <c r="B9" t="s">
        <v>13</v>
      </c>
      <c r="C9" s="4">
        <f>+P28</f>
        <v>28799.999999999993</v>
      </c>
      <c r="D9" s="1">
        <v>1200</v>
      </c>
      <c r="E9" s="1">
        <v>1200</v>
      </c>
      <c r="F9" s="1">
        <v>1200</v>
      </c>
      <c r="G9" s="1">
        <v>1200</v>
      </c>
      <c r="H9" s="1">
        <v>1200</v>
      </c>
      <c r="I9" s="1">
        <v>1200</v>
      </c>
      <c r="J9" s="1">
        <v>1200</v>
      </c>
      <c r="K9" s="1">
        <v>1200</v>
      </c>
      <c r="L9" s="1">
        <v>1200</v>
      </c>
      <c r="M9" s="1">
        <v>1200</v>
      </c>
      <c r="N9" s="1">
        <v>1200</v>
      </c>
      <c r="O9" s="1">
        <v>1200</v>
      </c>
      <c r="P9" s="1">
        <f>SUM(C9:O9)</f>
        <v>43199.999999999993</v>
      </c>
    </row>
    <row r="10" spans="1:16" x14ac:dyDescent="0.25">
      <c r="B10" t="s">
        <v>17</v>
      </c>
      <c r="P10" s="1">
        <f t="shared" ref="P10:P16" si="0">SUM(D10:O10)</f>
        <v>0</v>
      </c>
    </row>
    <row r="11" spans="1:16" x14ac:dyDescent="0.25">
      <c r="B11" t="s">
        <v>16</v>
      </c>
      <c r="P11" s="1">
        <f t="shared" si="0"/>
        <v>0</v>
      </c>
    </row>
    <row r="12" spans="1:16" x14ac:dyDescent="0.25">
      <c r="B12" t="s">
        <v>23</v>
      </c>
      <c r="P12" s="1">
        <f t="shared" si="0"/>
        <v>0</v>
      </c>
    </row>
    <row r="13" spans="1:16" x14ac:dyDescent="0.25">
      <c r="B13" t="s">
        <v>21</v>
      </c>
      <c r="P13" s="1">
        <f t="shared" si="0"/>
        <v>0</v>
      </c>
    </row>
    <row r="14" spans="1:16" x14ac:dyDescent="0.25">
      <c r="B14" t="s">
        <v>22</v>
      </c>
      <c r="P14" s="1">
        <f t="shared" si="0"/>
        <v>0</v>
      </c>
    </row>
    <row r="15" spans="1:16" x14ac:dyDescent="0.25">
      <c r="B15" t="s">
        <v>14</v>
      </c>
      <c r="P15" s="1">
        <f t="shared" si="0"/>
        <v>0</v>
      </c>
    </row>
    <row r="16" spans="1:16" x14ac:dyDescent="0.25">
      <c r="B16" t="s">
        <v>18</v>
      </c>
      <c r="D16" s="1">
        <v>-14400</v>
      </c>
      <c r="F16" s="1">
        <v>-18000</v>
      </c>
      <c r="H16" s="1">
        <v>-2400</v>
      </c>
      <c r="I16" s="1">
        <v>-1200</v>
      </c>
      <c r="J16" s="1">
        <v>-1200</v>
      </c>
      <c r="K16" s="1">
        <v>-1200</v>
      </c>
      <c r="L16" s="1">
        <v>-1200</v>
      </c>
      <c r="M16" s="1">
        <v>-1200</v>
      </c>
      <c r="N16" s="1">
        <v>-1200</v>
      </c>
      <c r="O16" s="1">
        <v>-1200</v>
      </c>
      <c r="P16" s="1">
        <f t="shared" si="0"/>
        <v>-43200</v>
      </c>
    </row>
    <row r="17" spans="1:16" ht="15.75" thickBot="1" x14ac:dyDescent="0.3">
      <c r="C17" s="5">
        <f>SUM(C9:C16)</f>
        <v>28799.999999999993</v>
      </c>
      <c r="D17" s="5">
        <f t="shared" ref="D17" si="1">SUM(D9:D16)</f>
        <v>-13200</v>
      </c>
      <c r="E17" s="5">
        <f t="shared" ref="E17" si="2">SUM(E9:E16)</f>
        <v>1200</v>
      </c>
      <c r="F17" s="5">
        <f t="shared" ref="F17" si="3">SUM(F9:F16)</f>
        <v>-16800</v>
      </c>
      <c r="G17" s="5">
        <f t="shared" ref="G17" si="4">SUM(G9:G16)</f>
        <v>1200</v>
      </c>
      <c r="H17" s="5">
        <f t="shared" ref="H17" si="5">SUM(H9:H16)</f>
        <v>-1200</v>
      </c>
      <c r="I17" s="5">
        <f t="shared" ref="I17" si="6">SUM(I9:I16)</f>
        <v>0</v>
      </c>
      <c r="J17" s="5">
        <f t="shared" ref="J17" si="7">SUM(J9:J16)</f>
        <v>0</v>
      </c>
      <c r="K17" s="5">
        <f t="shared" ref="K17" si="8">SUM(K9:K16)</f>
        <v>0</v>
      </c>
      <c r="L17" s="5">
        <f t="shared" ref="L17" si="9">SUM(L9:L16)</f>
        <v>0</v>
      </c>
      <c r="M17" s="5">
        <f t="shared" ref="M17" si="10">SUM(M9:M16)</f>
        <v>0</v>
      </c>
      <c r="N17" s="5">
        <f t="shared" ref="N17" si="11">SUM(N9:N16)</f>
        <v>0</v>
      </c>
      <c r="O17" s="5">
        <f t="shared" ref="O17" si="12">SUM(O9:O16)</f>
        <v>0</v>
      </c>
      <c r="P17" s="5">
        <f t="shared" ref="P17" si="13">SUM(P9:P16)</f>
        <v>0</v>
      </c>
    </row>
    <row r="18" spans="1:16" ht="15.75" thickTop="1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2">
        <v>2020</v>
      </c>
      <c r="B20" t="s">
        <v>13</v>
      </c>
      <c r="C20" s="4">
        <f>+P39</f>
        <v>28799.999999999993</v>
      </c>
      <c r="D20" s="1">
        <v>1200</v>
      </c>
      <c r="E20" s="1">
        <v>1200</v>
      </c>
      <c r="F20" s="1">
        <v>1200</v>
      </c>
      <c r="G20" s="1">
        <v>1200</v>
      </c>
      <c r="H20" s="1">
        <v>1200</v>
      </c>
      <c r="I20" s="1">
        <v>1200</v>
      </c>
      <c r="J20" s="1">
        <v>1200</v>
      </c>
      <c r="K20" s="1">
        <v>1200</v>
      </c>
      <c r="L20" s="1">
        <v>1200</v>
      </c>
      <c r="M20" s="1">
        <v>1200</v>
      </c>
      <c r="N20" s="1">
        <v>1200</v>
      </c>
      <c r="O20" s="1">
        <v>1200</v>
      </c>
      <c r="P20" s="1">
        <f>SUM(C20:O20)</f>
        <v>43199.999999999993</v>
      </c>
    </row>
    <row r="21" spans="1:16" x14ac:dyDescent="0.25">
      <c r="B21" t="s">
        <v>17</v>
      </c>
      <c r="P21" s="1">
        <f t="shared" ref="P21:P27" si="14">SUM(D21:O21)</f>
        <v>0</v>
      </c>
    </row>
    <row r="22" spans="1:16" x14ac:dyDescent="0.25">
      <c r="B22" t="s">
        <v>16</v>
      </c>
      <c r="P22" s="1">
        <f t="shared" si="14"/>
        <v>0</v>
      </c>
    </row>
    <row r="23" spans="1:16" x14ac:dyDescent="0.25">
      <c r="B23" t="s">
        <v>23</v>
      </c>
      <c r="P23" s="1">
        <f t="shared" si="14"/>
        <v>0</v>
      </c>
    </row>
    <row r="24" spans="1:16" x14ac:dyDescent="0.25">
      <c r="B24" t="s">
        <v>21</v>
      </c>
      <c r="P24" s="1">
        <f t="shared" si="14"/>
        <v>0</v>
      </c>
    </row>
    <row r="25" spans="1:16" x14ac:dyDescent="0.25">
      <c r="B25" t="s">
        <v>22</v>
      </c>
      <c r="P25" s="1">
        <f t="shared" si="14"/>
        <v>0</v>
      </c>
    </row>
    <row r="26" spans="1:16" x14ac:dyDescent="0.25">
      <c r="B26" t="s">
        <v>14</v>
      </c>
      <c r="P26" s="1">
        <f t="shared" si="14"/>
        <v>0</v>
      </c>
    </row>
    <row r="27" spans="1:16" x14ac:dyDescent="0.25">
      <c r="B27" t="s">
        <v>18</v>
      </c>
      <c r="D27" s="1">
        <v>-14400</v>
      </c>
      <c r="P27" s="1">
        <f t="shared" si="14"/>
        <v>-14400</v>
      </c>
    </row>
    <row r="28" spans="1:16" ht="15.75" thickBot="1" x14ac:dyDescent="0.3">
      <c r="C28" s="5">
        <f>SUM(C20:C27)</f>
        <v>28799.999999999993</v>
      </c>
      <c r="D28" s="5">
        <f t="shared" ref="D28" si="15">SUM(D20:D27)</f>
        <v>-13200</v>
      </c>
      <c r="E28" s="5">
        <f t="shared" ref="E28" si="16">SUM(E20:E27)</f>
        <v>1200</v>
      </c>
      <c r="F28" s="5">
        <f t="shared" ref="F28" si="17">SUM(F20:F27)</f>
        <v>1200</v>
      </c>
      <c r="G28" s="5">
        <f t="shared" ref="G28" si="18">SUM(G20:G27)</f>
        <v>1200</v>
      </c>
      <c r="H28" s="5">
        <f t="shared" ref="H28" si="19">SUM(H20:H27)</f>
        <v>1200</v>
      </c>
      <c r="I28" s="5">
        <f t="shared" ref="I28" si="20">SUM(I20:I27)</f>
        <v>1200</v>
      </c>
      <c r="J28" s="5">
        <f t="shared" ref="J28" si="21">SUM(J20:J27)</f>
        <v>1200</v>
      </c>
      <c r="K28" s="5">
        <f t="shared" ref="K28" si="22">SUM(K20:K27)</f>
        <v>1200</v>
      </c>
      <c r="L28" s="5">
        <f t="shared" ref="L28" si="23">SUM(L20:L27)</f>
        <v>1200</v>
      </c>
      <c r="M28" s="5">
        <f t="shared" ref="M28" si="24">SUM(M20:M27)</f>
        <v>1200</v>
      </c>
      <c r="N28" s="5">
        <f t="shared" ref="N28" si="25">SUM(N20:N27)</f>
        <v>1200</v>
      </c>
      <c r="O28" s="5">
        <f t="shared" ref="O28" si="26">SUM(O20:O27)</f>
        <v>1200</v>
      </c>
      <c r="P28" s="5">
        <f t="shared" ref="P28" si="27">SUM(P20:P27)</f>
        <v>28799.999999999993</v>
      </c>
    </row>
    <row r="29" spans="1:16" ht="15.75" thickTop="1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1" spans="1:16" x14ac:dyDescent="0.25">
      <c r="A31" s="2">
        <v>2019</v>
      </c>
      <c r="B31" t="s">
        <v>13</v>
      </c>
      <c r="C31" s="4">
        <f>+P50</f>
        <v>62752.679999999993</v>
      </c>
      <c r="D31" s="1">
        <v>1200</v>
      </c>
      <c r="E31" s="1">
        <v>1200</v>
      </c>
      <c r="F31" s="1">
        <v>1200</v>
      </c>
      <c r="G31" s="1">
        <v>1200</v>
      </c>
      <c r="H31" s="1">
        <v>1200</v>
      </c>
      <c r="I31" s="1">
        <v>1200</v>
      </c>
      <c r="J31" s="1">
        <v>1200</v>
      </c>
      <c r="K31" s="1">
        <v>1200</v>
      </c>
      <c r="L31" s="1">
        <v>1200</v>
      </c>
      <c r="M31" s="1">
        <v>1200</v>
      </c>
      <c r="N31" s="1">
        <v>1200</v>
      </c>
      <c r="O31" s="1">
        <v>1200</v>
      </c>
      <c r="P31" s="1">
        <f>SUM(C31:O31)</f>
        <v>77152.679999999993</v>
      </c>
    </row>
    <row r="32" spans="1:16" x14ac:dyDescent="0.25">
      <c r="B32" t="s">
        <v>17</v>
      </c>
      <c r="P32" s="1">
        <f t="shared" ref="P32:P38" si="28">SUM(D32:O32)</f>
        <v>0</v>
      </c>
    </row>
    <row r="33" spans="1:16" x14ac:dyDescent="0.25">
      <c r="B33" t="s">
        <v>16</v>
      </c>
      <c r="P33" s="1">
        <f t="shared" si="28"/>
        <v>0</v>
      </c>
    </row>
    <row r="34" spans="1:16" x14ac:dyDescent="0.25">
      <c r="B34" t="s">
        <v>23</v>
      </c>
      <c r="P34" s="1">
        <f t="shared" si="28"/>
        <v>0</v>
      </c>
    </row>
    <row r="35" spans="1:16" x14ac:dyDescent="0.25">
      <c r="B35" t="s">
        <v>21</v>
      </c>
      <c r="P35" s="1">
        <f t="shared" si="28"/>
        <v>0</v>
      </c>
    </row>
    <row r="36" spans="1:16" x14ac:dyDescent="0.25">
      <c r="B36" t="s">
        <v>22</v>
      </c>
      <c r="P36" s="1">
        <f t="shared" si="28"/>
        <v>0</v>
      </c>
    </row>
    <row r="37" spans="1:16" x14ac:dyDescent="0.25">
      <c r="B37" t="s">
        <v>14</v>
      </c>
      <c r="P37" s="1">
        <f t="shared" si="28"/>
        <v>0</v>
      </c>
    </row>
    <row r="38" spans="1:16" x14ac:dyDescent="0.25">
      <c r="B38" t="s">
        <v>18</v>
      </c>
      <c r="D38" s="1">
        <v>-48352.68</v>
      </c>
      <c r="P38" s="1">
        <f t="shared" si="28"/>
        <v>-48352.68</v>
      </c>
    </row>
    <row r="39" spans="1:16" ht="15.75" thickBot="1" x14ac:dyDescent="0.3">
      <c r="C39" s="5">
        <f>SUM(C31:C38)</f>
        <v>62752.679999999993</v>
      </c>
      <c r="D39" s="5">
        <f t="shared" ref="D39" si="29">SUM(D31:D38)</f>
        <v>-47152.68</v>
      </c>
      <c r="E39" s="5">
        <f t="shared" ref="E39" si="30">SUM(E31:E38)</f>
        <v>1200</v>
      </c>
      <c r="F39" s="5">
        <f t="shared" ref="F39" si="31">SUM(F31:F38)</f>
        <v>1200</v>
      </c>
      <c r="G39" s="5">
        <f t="shared" ref="G39" si="32">SUM(G31:G38)</f>
        <v>1200</v>
      </c>
      <c r="H39" s="5">
        <f t="shared" ref="H39" si="33">SUM(H31:H38)</f>
        <v>1200</v>
      </c>
      <c r="I39" s="5">
        <f t="shared" ref="I39" si="34">SUM(I31:I38)</f>
        <v>1200</v>
      </c>
      <c r="J39" s="5">
        <f t="shared" ref="J39" si="35">SUM(J31:J38)</f>
        <v>1200</v>
      </c>
      <c r="K39" s="5">
        <f t="shared" ref="K39" si="36">SUM(K31:K38)</f>
        <v>1200</v>
      </c>
      <c r="L39" s="5">
        <f t="shared" ref="L39" si="37">SUM(L31:L38)</f>
        <v>1200</v>
      </c>
      <c r="M39" s="5">
        <f t="shared" ref="M39" si="38">SUM(M31:M38)</f>
        <v>1200</v>
      </c>
      <c r="N39" s="5">
        <f t="shared" ref="N39" si="39">SUM(N31:N38)</f>
        <v>1200</v>
      </c>
      <c r="O39" s="5">
        <f t="shared" ref="O39" si="40">SUM(O31:O38)</f>
        <v>1200</v>
      </c>
      <c r="P39" s="5">
        <f t="shared" ref="P39" si="41">SUM(P31:P38)</f>
        <v>28799.999999999993</v>
      </c>
    </row>
    <row r="40" spans="1:16" ht="15.75" thickTop="1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2" spans="1:16" x14ac:dyDescent="0.25">
      <c r="A42" s="2">
        <v>2018</v>
      </c>
      <c r="B42" t="s">
        <v>13</v>
      </c>
      <c r="C42" s="4">
        <f>+P61</f>
        <v>48352.679999999993</v>
      </c>
      <c r="D42" s="1">
        <v>1200</v>
      </c>
      <c r="E42" s="1">
        <v>1200</v>
      </c>
      <c r="F42" s="1">
        <v>1200</v>
      </c>
      <c r="G42" s="1">
        <v>1200</v>
      </c>
      <c r="H42" s="1">
        <v>1200</v>
      </c>
      <c r="I42" s="1">
        <v>1200</v>
      </c>
      <c r="J42" s="1">
        <v>1200</v>
      </c>
      <c r="K42" s="1">
        <v>1200</v>
      </c>
      <c r="L42" s="1">
        <v>1200</v>
      </c>
      <c r="M42" s="1">
        <v>1200</v>
      </c>
      <c r="N42" s="1">
        <v>1200</v>
      </c>
      <c r="O42" s="1">
        <v>1200</v>
      </c>
      <c r="P42" s="1">
        <f>SUM(C42:O42)</f>
        <v>62752.679999999993</v>
      </c>
    </row>
    <row r="43" spans="1:16" x14ac:dyDescent="0.25">
      <c r="B43" t="s">
        <v>17</v>
      </c>
      <c r="P43" s="1">
        <f t="shared" ref="P43:P49" si="42">SUM(D43:O43)</f>
        <v>0</v>
      </c>
    </row>
    <row r="44" spans="1:16" x14ac:dyDescent="0.25">
      <c r="B44" t="s">
        <v>16</v>
      </c>
      <c r="P44" s="1">
        <f t="shared" si="42"/>
        <v>0</v>
      </c>
    </row>
    <row r="45" spans="1:16" x14ac:dyDescent="0.25">
      <c r="B45" t="s">
        <v>23</v>
      </c>
      <c r="P45" s="1">
        <f t="shared" si="42"/>
        <v>0</v>
      </c>
    </row>
    <row r="46" spans="1:16" x14ac:dyDescent="0.25">
      <c r="B46" t="s">
        <v>21</v>
      </c>
      <c r="P46" s="1">
        <f t="shared" si="42"/>
        <v>0</v>
      </c>
    </row>
    <row r="47" spans="1:16" x14ac:dyDescent="0.25">
      <c r="B47" t="s">
        <v>22</v>
      </c>
      <c r="P47" s="1">
        <f t="shared" si="42"/>
        <v>0</v>
      </c>
    </row>
    <row r="48" spans="1:16" x14ac:dyDescent="0.25">
      <c r="B48" t="s">
        <v>14</v>
      </c>
      <c r="P48" s="1">
        <f t="shared" si="42"/>
        <v>0</v>
      </c>
    </row>
    <row r="49" spans="1:16" x14ac:dyDescent="0.25">
      <c r="B49" t="s">
        <v>18</v>
      </c>
      <c r="P49" s="1">
        <f t="shared" si="42"/>
        <v>0</v>
      </c>
    </row>
    <row r="50" spans="1:16" ht="15.75" thickBot="1" x14ac:dyDescent="0.3">
      <c r="C50" s="5">
        <f>SUM(C42:C49)</f>
        <v>48352.679999999993</v>
      </c>
      <c r="D50" s="5">
        <f t="shared" ref="D50" si="43">SUM(D42:D49)</f>
        <v>1200</v>
      </c>
      <c r="E50" s="5">
        <f t="shared" ref="E50" si="44">SUM(E42:E49)</f>
        <v>1200</v>
      </c>
      <c r="F50" s="5">
        <f t="shared" ref="F50" si="45">SUM(F42:F49)</f>
        <v>1200</v>
      </c>
      <c r="G50" s="5">
        <f t="shared" ref="G50" si="46">SUM(G42:G49)</f>
        <v>1200</v>
      </c>
      <c r="H50" s="5">
        <f t="shared" ref="H50" si="47">SUM(H42:H49)</f>
        <v>1200</v>
      </c>
      <c r="I50" s="5">
        <f t="shared" ref="I50" si="48">SUM(I42:I49)</f>
        <v>1200</v>
      </c>
      <c r="J50" s="5">
        <f t="shared" ref="J50" si="49">SUM(J42:J49)</f>
        <v>1200</v>
      </c>
      <c r="K50" s="5">
        <f t="shared" ref="K50" si="50">SUM(K42:K49)</f>
        <v>1200</v>
      </c>
      <c r="L50" s="5">
        <f t="shared" ref="L50" si="51">SUM(L42:L49)</f>
        <v>1200</v>
      </c>
      <c r="M50" s="5">
        <f t="shared" ref="M50" si="52">SUM(M42:M49)</f>
        <v>1200</v>
      </c>
      <c r="N50" s="5">
        <f t="shared" ref="N50" si="53">SUM(N42:N49)</f>
        <v>1200</v>
      </c>
      <c r="O50" s="5">
        <f t="shared" ref="O50" si="54">SUM(O42:O49)</f>
        <v>1200</v>
      </c>
      <c r="P50" s="5">
        <f t="shared" ref="P50" si="55">SUM(P42:P49)</f>
        <v>62752.679999999993</v>
      </c>
    </row>
    <row r="51" spans="1:16" ht="15.75" thickTop="1" x14ac:dyDescent="0.25"/>
    <row r="53" spans="1:16" x14ac:dyDescent="0.25">
      <c r="A53" s="2">
        <v>2017</v>
      </c>
      <c r="B53" t="s">
        <v>13</v>
      </c>
      <c r="C53" s="4">
        <f>+P72</f>
        <v>33952.679999999993</v>
      </c>
      <c r="D53" s="1">
        <v>1200</v>
      </c>
      <c r="E53" s="1">
        <v>1200</v>
      </c>
      <c r="F53" s="1">
        <v>1200</v>
      </c>
      <c r="G53" s="1">
        <v>1200</v>
      </c>
      <c r="H53" s="1">
        <v>1200</v>
      </c>
      <c r="I53" s="1">
        <v>1200</v>
      </c>
      <c r="J53" s="1">
        <v>1200</v>
      </c>
      <c r="K53" s="1">
        <v>1200</v>
      </c>
      <c r="L53" s="1">
        <v>1200</v>
      </c>
      <c r="M53" s="1">
        <v>1200</v>
      </c>
      <c r="N53" s="1">
        <v>1200</v>
      </c>
      <c r="O53" s="1">
        <v>1200</v>
      </c>
      <c r="P53" s="1">
        <f>SUM(C53:O53)</f>
        <v>48352.679999999993</v>
      </c>
    </row>
    <row r="54" spans="1:16" x14ac:dyDescent="0.25">
      <c r="B54" t="s">
        <v>17</v>
      </c>
      <c r="P54" s="1">
        <f t="shared" ref="P54:P60" si="56">SUM(D54:O54)</f>
        <v>0</v>
      </c>
    </row>
    <row r="55" spans="1:16" x14ac:dyDescent="0.25">
      <c r="B55" t="s">
        <v>16</v>
      </c>
      <c r="P55" s="1">
        <f t="shared" si="56"/>
        <v>0</v>
      </c>
    </row>
    <row r="56" spans="1:16" x14ac:dyDescent="0.25">
      <c r="B56" t="s">
        <v>23</v>
      </c>
      <c r="P56" s="1">
        <f t="shared" si="56"/>
        <v>0</v>
      </c>
    </row>
    <row r="57" spans="1:16" x14ac:dyDescent="0.25">
      <c r="B57" t="s">
        <v>21</v>
      </c>
      <c r="P57" s="1">
        <f t="shared" si="56"/>
        <v>0</v>
      </c>
    </row>
    <row r="58" spans="1:16" x14ac:dyDescent="0.25">
      <c r="B58" t="s">
        <v>22</v>
      </c>
      <c r="P58" s="1">
        <f t="shared" si="56"/>
        <v>0</v>
      </c>
    </row>
    <row r="59" spans="1:16" x14ac:dyDescent="0.25">
      <c r="B59" t="s">
        <v>14</v>
      </c>
      <c r="P59" s="1">
        <f t="shared" si="56"/>
        <v>0</v>
      </c>
    </row>
    <row r="60" spans="1:16" x14ac:dyDescent="0.25">
      <c r="B60" t="s">
        <v>18</v>
      </c>
      <c r="P60" s="1">
        <f t="shared" si="56"/>
        <v>0</v>
      </c>
    </row>
    <row r="61" spans="1:16" ht="15.75" thickBot="1" x14ac:dyDescent="0.3">
      <c r="C61" s="5">
        <f>SUM(C53:C60)</f>
        <v>33952.679999999993</v>
      </c>
      <c r="D61" s="5">
        <f t="shared" ref="D61" si="57">SUM(D53:D60)</f>
        <v>1200</v>
      </c>
      <c r="E61" s="5">
        <f t="shared" ref="E61" si="58">SUM(E53:E60)</f>
        <v>1200</v>
      </c>
      <c r="F61" s="5">
        <f t="shared" ref="F61" si="59">SUM(F53:F60)</f>
        <v>1200</v>
      </c>
      <c r="G61" s="5">
        <f t="shared" ref="G61" si="60">SUM(G53:G60)</f>
        <v>1200</v>
      </c>
      <c r="H61" s="5">
        <f t="shared" ref="H61" si="61">SUM(H53:H60)</f>
        <v>1200</v>
      </c>
      <c r="I61" s="5">
        <f t="shared" ref="I61" si="62">SUM(I53:I60)</f>
        <v>1200</v>
      </c>
      <c r="J61" s="5">
        <f t="shared" ref="J61" si="63">SUM(J53:J60)</f>
        <v>1200</v>
      </c>
      <c r="K61" s="5">
        <f t="shared" ref="K61" si="64">SUM(K53:K60)</f>
        <v>1200</v>
      </c>
      <c r="L61" s="5">
        <f t="shared" ref="L61" si="65">SUM(L53:L60)</f>
        <v>1200</v>
      </c>
      <c r="M61" s="5">
        <f t="shared" ref="M61" si="66">SUM(M53:M60)</f>
        <v>1200</v>
      </c>
      <c r="N61" s="5">
        <f t="shared" ref="N61" si="67">SUM(N53:N60)</f>
        <v>1200</v>
      </c>
      <c r="O61" s="5">
        <f t="shared" ref="O61" si="68">SUM(O53:O60)</f>
        <v>1200</v>
      </c>
      <c r="P61" s="5">
        <f t="shared" ref="P61" si="69">SUM(P53:P60)</f>
        <v>48352.679999999993</v>
      </c>
    </row>
    <row r="62" spans="1:16" ht="15.75" thickTop="1" x14ac:dyDescent="0.25"/>
    <row r="64" spans="1:16" x14ac:dyDescent="0.25">
      <c r="A64" s="2">
        <v>2016</v>
      </c>
      <c r="B64" t="s">
        <v>13</v>
      </c>
      <c r="C64" s="4">
        <f>+P84</f>
        <v>22459.799999999996</v>
      </c>
      <c r="D64" s="1">
        <v>1200</v>
      </c>
      <c r="E64" s="1">
        <v>1200</v>
      </c>
      <c r="F64" s="1">
        <v>1200</v>
      </c>
      <c r="G64" s="1">
        <v>1200</v>
      </c>
      <c r="H64" s="1">
        <v>1200</v>
      </c>
      <c r="I64" s="1">
        <v>1200</v>
      </c>
      <c r="J64" s="1">
        <v>1200</v>
      </c>
      <c r="K64" s="1">
        <v>1200</v>
      </c>
      <c r="L64" s="1">
        <v>1200</v>
      </c>
      <c r="M64" s="1">
        <v>1200</v>
      </c>
      <c r="N64" s="1">
        <v>1200</v>
      </c>
      <c r="O64" s="1">
        <v>1200</v>
      </c>
      <c r="P64" s="1">
        <f>SUM(C64:O64)</f>
        <v>36859.799999999996</v>
      </c>
    </row>
    <row r="65" spans="1:16" x14ac:dyDescent="0.25">
      <c r="A65" s="2"/>
      <c r="B65" t="s">
        <v>17</v>
      </c>
      <c r="P65" s="1">
        <f t="shared" ref="P65:P71" si="70">SUM(D65:O65)</f>
        <v>0</v>
      </c>
    </row>
    <row r="66" spans="1:16" x14ac:dyDescent="0.25">
      <c r="A66" s="2"/>
      <c r="B66" t="s">
        <v>16</v>
      </c>
      <c r="P66" s="1">
        <f t="shared" si="70"/>
        <v>0</v>
      </c>
    </row>
    <row r="67" spans="1:16" x14ac:dyDescent="0.25">
      <c r="A67" s="2"/>
      <c r="B67" t="s">
        <v>23</v>
      </c>
      <c r="M67" s="1">
        <v>-1109</v>
      </c>
      <c r="P67" s="1">
        <f t="shared" si="70"/>
        <v>-1109</v>
      </c>
    </row>
    <row r="68" spans="1:16" x14ac:dyDescent="0.25">
      <c r="A68" s="2"/>
      <c r="B68" t="s">
        <v>21</v>
      </c>
      <c r="P68" s="1">
        <f t="shared" si="70"/>
        <v>0</v>
      </c>
    </row>
    <row r="69" spans="1:16" x14ac:dyDescent="0.25">
      <c r="A69" s="2"/>
      <c r="B69" t="s">
        <v>22</v>
      </c>
      <c r="K69" s="1">
        <v>-1798.12</v>
      </c>
      <c r="P69" s="1">
        <f t="shared" si="70"/>
        <v>-1798.12</v>
      </c>
    </row>
    <row r="70" spans="1:16" x14ac:dyDescent="0.25">
      <c r="B70" t="s">
        <v>14</v>
      </c>
      <c r="P70" s="1">
        <f t="shared" si="70"/>
        <v>0</v>
      </c>
    </row>
    <row r="71" spans="1:16" x14ac:dyDescent="0.25">
      <c r="B71" t="s">
        <v>18</v>
      </c>
      <c r="P71" s="1">
        <f t="shared" si="70"/>
        <v>0</v>
      </c>
    </row>
    <row r="72" spans="1:16" ht="15.75" thickBot="1" x14ac:dyDescent="0.3">
      <c r="C72" s="5">
        <f>SUM(C64:C71)</f>
        <v>22459.799999999996</v>
      </c>
      <c r="D72" s="5">
        <f t="shared" ref="D72" si="71">SUM(D64:D71)</f>
        <v>1200</v>
      </c>
      <c r="E72" s="5">
        <f t="shared" ref="E72" si="72">SUM(E64:E71)</f>
        <v>1200</v>
      </c>
      <c r="F72" s="5">
        <f t="shared" ref="F72" si="73">SUM(F64:F71)</f>
        <v>1200</v>
      </c>
      <c r="G72" s="5">
        <f t="shared" ref="G72" si="74">SUM(G64:G71)</f>
        <v>1200</v>
      </c>
      <c r="H72" s="5">
        <f t="shared" ref="H72" si="75">SUM(H64:H71)</f>
        <v>1200</v>
      </c>
      <c r="I72" s="5">
        <f t="shared" ref="I72" si="76">SUM(I64:I71)</f>
        <v>1200</v>
      </c>
      <c r="J72" s="5">
        <f t="shared" ref="J72" si="77">SUM(J64:J71)</f>
        <v>1200</v>
      </c>
      <c r="K72" s="5">
        <f t="shared" ref="K72" si="78">SUM(K64:K71)</f>
        <v>-598.11999999999989</v>
      </c>
      <c r="L72" s="5">
        <f t="shared" ref="L72" si="79">SUM(L64:L71)</f>
        <v>1200</v>
      </c>
      <c r="M72" s="5">
        <f t="shared" ref="M72" si="80">SUM(M64:M71)</f>
        <v>91</v>
      </c>
      <c r="N72" s="5">
        <f t="shared" ref="N72" si="81">SUM(N64:N71)</f>
        <v>1200</v>
      </c>
      <c r="O72" s="5">
        <f t="shared" ref="O72" si="82">SUM(O64:O71)</f>
        <v>1200</v>
      </c>
      <c r="P72" s="5">
        <f t="shared" ref="P72" si="83">SUM(P64:P71)</f>
        <v>33952.679999999993</v>
      </c>
    </row>
    <row r="73" spans="1:16" ht="15.75" thickTop="1" x14ac:dyDescent="0.25"/>
    <row r="77" spans="1:16" x14ac:dyDescent="0.25">
      <c r="A77" s="2">
        <v>2015</v>
      </c>
      <c r="B77" t="s">
        <v>13</v>
      </c>
      <c r="C77" s="4">
        <f>+P93</f>
        <v>33465.679999999993</v>
      </c>
      <c r="D77" s="1">
        <v>1200</v>
      </c>
      <c r="E77" s="1">
        <v>1200</v>
      </c>
      <c r="F77" s="1">
        <v>1200</v>
      </c>
      <c r="G77" s="1">
        <v>1200</v>
      </c>
      <c r="H77" s="1">
        <v>1200</v>
      </c>
      <c r="I77" s="1">
        <v>2400</v>
      </c>
      <c r="J77" s="1">
        <v>1200</v>
      </c>
      <c r="K77" s="1">
        <v>1200</v>
      </c>
      <c r="L77" s="1">
        <v>1200</v>
      </c>
      <c r="M77" s="1">
        <v>1200</v>
      </c>
      <c r="N77" s="1">
        <v>1200</v>
      </c>
      <c r="O77" s="1">
        <v>1200</v>
      </c>
      <c r="P77" s="1">
        <f>SUM(C77:O77)</f>
        <v>49065.679999999993</v>
      </c>
    </row>
    <row r="78" spans="1:16" x14ac:dyDescent="0.25">
      <c r="B78" t="s">
        <v>17</v>
      </c>
      <c r="D78" s="1">
        <v>-2725.46</v>
      </c>
      <c r="P78" s="1">
        <f t="shared" ref="P78:P83" si="84">SUM(D78:O78)</f>
        <v>-2725.46</v>
      </c>
    </row>
    <row r="79" spans="1:16" x14ac:dyDescent="0.25">
      <c r="B79" t="s">
        <v>16</v>
      </c>
      <c r="P79" s="1">
        <f t="shared" si="84"/>
        <v>0</v>
      </c>
    </row>
    <row r="80" spans="1:16" x14ac:dyDescent="0.25">
      <c r="B80" t="s">
        <v>21</v>
      </c>
      <c r="P80" s="1">
        <f t="shared" si="84"/>
        <v>0</v>
      </c>
    </row>
    <row r="81" spans="1:16" x14ac:dyDescent="0.25">
      <c r="B81" t="s">
        <v>22</v>
      </c>
      <c r="E81" s="1">
        <v>-10730.59</v>
      </c>
      <c r="G81" s="1">
        <v>-5990.44</v>
      </c>
      <c r="H81" s="1">
        <v>-107.47</v>
      </c>
      <c r="K81" s="1">
        <v>-7051.92</v>
      </c>
      <c r="P81" s="1">
        <f t="shared" si="84"/>
        <v>-23880.42</v>
      </c>
    </row>
    <row r="82" spans="1:16" x14ac:dyDescent="0.25">
      <c r="B82" t="s">
        <v>14</v>
      </c>
      <c r="P82" s="1">
        <f t="shared" si="84"/>
        <v>0</v>
      </c>
    </row>
    <row r="83" spans="1:16" x14ac:dyDescent="0.25">
      <c r="B83" t="s">
        <v>18</v>
      </c>
      <c r="P83" s="1">
        <f t="shared" si="84"/>
        <v>0</v>
      </c>
    </row>
    <row r="84" spans="1:16" ht="15.75" thickBot="1" x14ac:dyDescent="0.3">
      <c r="C84" s="5">
        <f>SUM(C77:C83)</f>
        <v>33465.679999999993</v>
      </c>
      <c r="D84" s="5">
        <f t="shared" ref="D84" si="85">SUM(D77:D83)</f>
        <v>-1525.46</v>
      </c>
      <c r="E84" s="5">
        <f t="shared" ref="E84" si="86">SUM(E77:E83)</f>
        <v>-9530.59</v>
      </c>
      <c r="F84" s="5">
        <f t="shared" ref="F84" si="87">SUM(F77:F83)</f>
        <v>1200</v>
      </c>
      <c r="G84" s="5">
        <f t="shared" ref="G84" si="88">SUM(G77:G83)</f>
        <v>-4790.4399999999996</v>
      </c>
      <c r="H84" s="5">
        <f t="shared" ref="H84" si="89">SUM(H77:H83)</f>
        <v>1092.53</v>
      </c>
      <c r="I84" s="5">
        <f t="shared" ref="I84" si="90">SUM(I77:I83)</f>
        <v>2400</v>
      </c>
      <c r="J84" s="5">
        <f t="shared" ref="J84" si="91">SUM(J77:J83)</f>
        <v>1200</v>
      </c>
      <c r="K84" s="5">
        <f t="shared" ref="K84" si="92">SUM(K77:K83)</f>
        <v>-5851.92</v>
      </c>
      <c r="L84" s="5">
        <f t="shared" ref="L84" si="93">SUM(L77:L83)</f>
        <v>1200</v>
      </c>
      <c r="M84" s="5">
        <f t="shared" ref="M84" si="94">SUM(M77:M83)</f>
        <v>1200</v>
      </c>
      <c r="N84" s="5">
        <f t="shared" ref="N84" si="95">SUM(N77:N83)</f>
        <v>1200</v>
      </c>
      <c r="O84" s="5">
        <f t="shared" ref="O84" si="96">SUM(O77:O83)</f>
        <v>1200</v>
      </c>
      <c r="P84" s="5">
        <f t="shared" ref="P84" si="97">SUM(P77:P83)</f>
        <v>22459.799999999996</v>
      </c>
    </row>
    <row r="85" spans="1:16" ht="15.75" thickTop="1" x14ac:dyDescent="0.25"/>
    <row r="86" spans="1:16" x14ac:dyDescent="0.25">
      <c r="A86" s="2">
        <v>2014</v>
      </c>
      <c r="B86" t="s">
        <v>13</v>
      </c>
      <c r="C86" s="4">
        <f>+P101</f>
        <v>16103.279999999999</v>
      </c>
      <c r="D86" s="1">
        <v>1200</v>
      </c>
      <c r="E86" s="1">
        <v>1200</v>
      </c>
      <c r="F86" s="1">
        <v>1200</v>
      </c>
      <c r="G86" s="1">
        <v>1200</v>
      </c>
      <c r="H86" s="1">
        <v>1200</v>
      </c>
      <c r="I86" s="1">
        <v>1200</v>
      </c>
      <c r="J86" s="1">
        <v>1200</v>
      </c>
      <c r="K86" s="1">
        <v>1200</v>
      </c>
      <c r="L86" s="1">
        <v>1200</v>
      </c>
      <c r="M86" s="1">
        <v>1200</v>
      </c>
      <c r="N86" s="1">
        <v>1200</v>
      </c>
      <c r="O86" s="1">
        <f>1200+106789.24+79241.8+33465.68</f>
        <v>220696.72</v>
      </c>
      <c r="P86" s="1">
        <f>SUM(C86:O86)</f>
        <v>250000</v>
      </c>
    </row>
    <row r="87" spans="1:16" x14ac:dyDescent="0.25">
      <c r="B87" t="s">
        <v>17</v>
      </c>
      <c r="P87" s="1">
        <f t="shared" ref="P87:P92" si="98">SUM(D87:O87)</f>
        <v>0</v>
      </c>
    </row>
    <row r="88" spans="1:16" x14ac:dyDescent="0.25">
      <c r="B88" t="s">
        <v>16</v>
      </c>
      <c r="P88" s="1">
        <f t="shared" si="98"/>
        <v>0</v>
      </c>
    </row>
    <row r="89" spans="1:16" x14ac:dyDescent="0.25">
      <c r="B89" t="s">
        <v>21</v>
      </c>
      <c r="D89" s="1">
        <v>-21661.83</v>
      </c>
      <c r="E89" s="1">
        <v>21661.83</v>
      </c>
      <c r="P89" s="1">
        <f t="shared" si="98"/>
        <v>0</v>
      </c>
    </row>
    <row r="90" spans="1:16" x14ac:dyDescent="0.25">
      <c r="B90" t="s">
        <v>22</v>
      </c>
      <c r="F90" s="1">
        <v>-136</v>
      </c>
      <c r="G90" s="1">
        <v>-6132.75</v>
      </c>
      <c r="J90" s="1">
        <v>-2554.94</v>
      </c>
      <c r="K90" s="1">
        <v>-39.51</v>
      </c>
      <c r="N90" s="1">
        <v>-6735.96</v>
      </c>
      <c r="O90" s="1">
        <v>-200935.16</v>
      </c>
      <c r="P90" s="1">
        <f t="shared" si="98"/>
        <v>-216534.32</v>
      </c>
    </row>
    <row r="91" spans="1:16" x14ac:dyDescent="0.25">
      <c r="B91" t="s">
        <v>14</v>
      </c>
      <c r="P91" s="1">
        <f t="shared" si="98"/>
        <v>0</v>
      </c>
    </row>
    <row r="92" spans="1:16" x14ac:dyDescent="0.25">
      <c r="B92" t="s">
        <v>18</v>
      </c>
      <c r="P92" s="1">
        <f t="shared" si="98"/>
        <v>0</v>
      </c>
    </row>
    <row r="93" spans="1:16" ht="15.75" thickBot="1" x14ac:dyDescent="0.3">
      <c r="C93" s="5">
        <f>SUM(C86:C92)</f>
        <v>16103.279999999999</v>
      </c>
      <c r="D93" s="5">
        <f t="shared" ref="D93:P93" si="99">SUM(D86:D92)</f>
        <v>-20461.830000000002</v>
      </c>
      <c r="E93" s="5">
        <f t="shared" si="99"/>
        <v>22861.83</v>
      </c>
      <c r="F93" s="5">
        <f t="shared" si="99"/>
        <v>1064</v>
      </c>
      <c r="G93" s="5">
        <f t="shared" si="99"/>
        <v>-4932.75</v>
      </c>
      <c r="H93" s="5">
        <f t="shared" si="99"/>
        <v>1200</v>
      </c>
      <c r="I93" s="5">
        <f t="shared" si="99"/>
        <v>1200</v>
      </c>
      <c r="J93" s="5">
        <f t="shared" si="99"/>
        <v>-1354.94</v>
      </c>
      <c r="K93" s="5">
        <f t="shared" si="99"/>
        <v>1160.49</v>
      </c>
      <c r="L93" s="5">
        <f t="shared" si="99"/>
        <v>1200</v>
      </c>
      <c r="M93" s="5">
        <f t="shared" si="99"/>
        <v>1200</v>
      </c>
      <c r="N93" s="5">
        <f t="shared" si="99"/>
        <v>-5535.96</v>
      </c>
      <c r="O93" s="5">
        <f t="shared" si="99"/>
        <v>19761.559999999998</v>
      </c>
      <c r="P93" s="5">
        <f t="shared" si="99"/>
        <v>33465.679999999993</v>
      </c>
    </row>
    <row r="94" spans="1:16" ht="15.75" thickTop="1" x14ac:dyDescent="0.25"/>
    <row r="95" spans="1:16" x14ac:dyDescent="0.25">
      <c r="A95" s="2">
        <v>2013</v>
      </c>
      <c r="B95" t="s">
        <v>13</v>
      </c>
      <c r="C95" s="4">
        <f>+P109</f>
        <v>1703.2799999999988</v>
      </c>
      <c r="D95" s="1">
        <v>1200</v>
      </c>
      <c r="E95" s="1">
        <v>1200</v>
      </c>
      <c r="F95" s="1">
        <v>1200</v>
      </c>
      <c r="G95" s="1">
        <v>1200</v>
      </c>
      <c r="H95" s="1">
        <v>1200</v>
      </c>
      <c r="I95" s="1">
        <v>1200</v>
      </c>
      <c r="J95" s="1">
        <v>1200</v>
      </c>
      <c r="K95" s="1">
        <v>1200</v>
      </c>
      <c r="L95" s="1">
        <v>1200</v>
      </c>
      <c r="M95" s="1">
        <v>1200</v>
      </c>
      <c r="N95" s="1">
        <v>1200</v>
      </c>
      <c r="O95" s="1">
        <v>1200</v>
      </c>
      <c r="P95" s="1">
        <f>SUM(C95:O95)</f>
        <v>16103.279999999999</v>
      </c>
    </row>
    <row r="96" spans="1:16" x14ac:dyDescent="0.25">
      <c r="B96" t="s">
        <v>17</v>
      </c>
    </row>
    <row r="97" spans="1:16" x14ac:dyDescent="0.25">
      <c r="B97" t="s">
        <v>16</v>
      </c>
    </row>
    <row r="98" spans="1:16" x14ac:dyDescent="0.25">
      <c r="B98" t="s">
        <v>20</v>
      </c>
    </row>
    <row r="99" spans="1:16" x14ac:dyDescent="0.25">
      <c r="B99" t="s">
        <v>14</v>
      </c>
    </row>
    <row r="100" spans="1:16" x14ac:dyDescent="0.25">
      <c r="B100" t="s">
        <v>18</v>
      </c>
    </row>
    <row r="101" spans="1:16" ht="15.75" thickBot="1" x14ac:dyDescent="0.3">
      <c r="C101" s="5">
        <f>SUM(C95:C100)</f>
        <v>1703.2799999999988</v>
      </c>
      <c r="D101" s="5">
        <f t="shared" ref="D101:P101" si="100">SUM(D95:D100)</f>
        <v>1200</v>
      </c>
      <c r="E101" s="5">
        <f t="shared" si="100"/>
        <v>1200</v>
      </c>
      <c r="F101" s="5">
        <f t="shared" si="100"/>
        <v>1200</v>
      </c>
      <c r="G101" s="5">
        <f t="shared" si="100"/>
        <v>1200</v>
      </c>
      <c r="H101" s="5">
        <f t="shared" si="100"/>
        <v>1200</v>
      </c>
      <c r="I101" s="5">
        <f t="shared" si="100"/>
        <v>1200</v>
      </c>
      <c r="J101" s="5">
        <f t="shared" si="100"/>
        <v>1200</v>
      </c>
      <c r="K101" s="5">
        <f t="shared" si="100"/>
        <v>1200</v>
      </c>
      <c r="L101" s="5">
        <f t="shared" si="100"/>
        <v>1200</v>
      </c>
      <c r="M101" s="5">
        <f t="shared" si="100"/>
        <v>1200</v>
      </c>
      <c r="N101" s="5">
        <f t="shared" si="100"/>
        <v>1200</v>
      </c>
      <c r="O101" s="5">
        <f t="shared" si="100"/>
        <v>1200</v>
      </c>
      <c r="P101" s="5">
        <f t="shared" si="100"/>
        <v>16103.279999999999</v>
      </c>
    </row>
    <row r="102" spans="1:16" ht="15.75" thickTop="1" x14ac:dyDescent="0.25"/>
    <row r="103" spans="1:16" x14ac:dyDescent="0.25">
      <c r="A103" s="2">
        <v>2012</v>
      </c>
      <c r="B103" t="s">
        <v>13</v>
      </c>
      <c r="C103" s="4">
        <f>+P117</f>
        <v>3859.5799999999981</v>
      </c>
      <c r="D103" s="1">
        <v>1200</v>
      </c>
      <c r="E103" s="1">
        <v>1200</v>
      </c>
      <c r="F103" s="1">
        <v>1200</v>
      </c>
      <c r="G103" s="1">
        <v>1200</v>
      </c>
      <c r="H103" s="1">
        <v>1200</v>
      </c>
      <c r="I103" s="1">
        <v>1200</v>
      </c>
      <c r="J103" s="1">
        <v>1200</v>
      </c>
      <c r="K103" s="1">
        <v>1200</v>
      </c>
      <c r="L103" s="1">
        <v>1200</v>
      </c>
      <c r="M103" s="1">
        <v>1200</v>
      </c>
      <c r="N103" s="1">
        <v>1200</v>
      </c>
      <c r="O103" s="1">
        <v>1200</v>
      </c>
      <c r="P103" s="1">
        <f>SUM(C103:O103)</f>
        <v>18259.579999999998</v>
      </c>
    </row>
    <row r="104" spans="1:16" x14ac:dyDescent="0.25">
      <c r="B104" t="s">
        <v>17</v>
      </c>
      <c r="P104" s="1">
        <f t="shared" ref="P104:P108" si="101">SUM(C104:O104)</f>
        <v>0</v>
      </c>
    </row>
    <row r="105" spans="1:16" x14ac:dyDescent="0.25">
      <c r="B105" t="s">
        <v>16</v>
      </c>
      <c r="D105" s="1">
        <v>-384</v>
      </c>
      <c r="P105" s="1">
        <f t="shared" si="101"/>
        <v>-384</v>
      </c>
    </row>
    <row r="106" spans="1:16" x14ac:dyDescent="0.25">
      <c r="B106" t="s">
        <v>20</v>
      </c>
      <c r="G106" s="1">
        <v>2212.06</v>
      </c>
      <c r="P106" s="1">
        <f t="shared" si="101"/>
        <v>2212.06</v>
      </c>
    </row>
    <row r="107" spans="1:16" x14ac:dyDescent="0.25">
      <c r="B107" t="s">
        <v>14</v>
      </c>
      <c r="D107" s="1">
        <v>-3</v>
      </c>
      <c r="P107" s="1">
        <f t="shared" si="101"/>
        <v>-3</v>
      </c>
    </row>
    <row r="108" spans="1:16" x14ac:dyDescent="0.25">
      <c r="B108" t="s">
        <v>18</v>
      </c>
      <c r="O108" s="1">
        <v>-18381.36</v>
      </c>
      <c r="P108" s="1">
        <f t="shared" si="101"/>
        <v>-18381.36</v>
      </c>
    </row>
    <row r="109" spans="1:16" ht="15.75" thickBot="1" x14ac:dyDescent="0.3">
      <c r="C109" s="5">
        <f t="shared" ref="C109:P109" si="102">SUM(C103:C108)</f>
        <v>3859.5799999999981</v>
      </c>
      <c r="D109" s="5">
        <f t="shared" si="102"/>
        <v>813</v>
      </c>
      <c r="E109" s="5">
        <f t="shared" si="102"/>
        <v>1200</v>
      </c>
      <c r="F109" s="5">
        <f t="shared" si="102"/>
        <v>1200</v>
      </c>
      <c r="G109" s="5">
        <f t="shared" si="102"/>
        <v>3412.06</v>
      </c>
      <c r="H109" s="5">
        <f t="shared" si="102"/>
        <v>1200</v>
      </c>
      <c r="I109" s="5">
        <f t="shared" si="102"/>
        <v>1200</v>
      </c>
      <c r="J109" s="5">
        <f t="shared" si="102"/>
        <v>1200</v>
      </c>
      <c r="K109" s="5">
        <f t="shared" si="102"/>
        <v>1200</v>
      </c>
      <c r="L109" s="5">
        <f t="shared" si="102"/>
        <v>1200</v>
      </c>
      <c r="M109" s="5">
        <f t="shared" si="102"/>
        <v>1200</v>
      </c>
      <c r="N109" s="5">
        <f t="shared" si="102"/>
        <v>1200</v>
      </c>
      <c r="O109" s="5">
        <f t="shared" si="102"/>
        <v>-17181.36</v>
      </c>
      <c r="P109" s="5">
        <f t="shared" si="102"/>
        <v>1703.2799999999988</v>
      </c>
    </row>
    <row r="110" spans="1:16" ht="15.75" thickTop="1" x14ac:dyDescent="0.25"/>
    <row r="111" spans="1:16" x14ac:dyDescent="0.25">
      <c r="A111" s="2">
        <v>2011</v>
      </c>
      <c r="B111" t="s">
        <v>13</v>
      </c>
      <c r="C111" s="1">
        <v>20382.39</v>
      </c>
      <c r="D111" s="1">
        <v>1200</v>
      </c>
      <c r="E111" s="1">
        <v>1200</v>
      </c>
      <c r="F111" s="1">
        <v>1200</v>
      </c>
      <c r="G111" s="1">
        <v>1200</v>
      </c>
      <c r="H111" s="1">
        <v>1200</v>
      </c>
      <c r="I111" s="1">
        <v>1200</v>
      </c>
      <c r="J111" s="1">
        <v>1200</v>
      </c>
      <c r="K111" s="1">
        <v>1200</v>
      </c>
      <c r="L111" s="1">
        <v>1200</v>
      </c>
      <c r="M111" s="1">
        <v>1200</v>
      </c>
      <c r="N111" s="1">
        <v>1200</v>
      </c>
      <c r="O111" s="1">
        <v>1200</v>
      </c>
      <c r="P111" s="1">
        <f>SUM(C111:O111)</f>
        <v>34782.39</v>
      </c>
    </row>
    <row r="112" spans="1:16" x14ac:dyDescent="0.25">
      <c r="B112" t="s">
        <v>17</v>
      </c>
      <c r="H112" s="1">
        <v>-2924.38</v>
      </c>
      <c r="K112" s="1">
        <v>-2449.52</v>
      </c>
      <c r="L112" s="1">
        <v>-2787.53</v>
      </c>
      <c r="P112" s="1">
        <f t="shared" ref="P112:P116" si="103">SUM(D112:O112)</f>
        <v>-8161.43</v>
      </c>
    </row>
    <row r="113" spans="1:16" x14ac:dyDescent="0.25">
      <c r="B113" t="s">
        <v>16</v>
      </c>
      <c r="K113" s="1">
        <v>-746</v>
      </c>
      <c r="P113" s="1">
        <f t="shared" si="103"/>
        <v>-746</v>
      </c>
    </row>
    <row r="114" spans="1:16" x14ac:dyDescent="0.25">
      <c r="A114" s="2"/>
      <c r="B114" t="s">
        <v>15</v>
      </c>
      <c r="I114" s="1">
        <v>1562.31</v>
      </c>
      <c r="P114" s="1">
        <f>SUM(D114:O114)</f>
        <v>1562.31</v>
      </c>
    </row>
    <row r="115" spans="1:16" x14ac:dyDescent="0.25">
      <c r="B115" t="s">
        <v>14</v>
      </c>
      <c r="H115" s="1">
        <v>2924.38</v>
      </c>
      <c r="L115" s="1">
        <v>1587.7</v>
      </c>
      <c r="P115" s="1">
        <f t="shared" si="103"/>
        <v>4512.08</v>
      </c>
    </row>
    <row r="116" spans="1:16" x14ac:dyDescent="0.25">
      <c r="B116" t="s">
        <v>18</v>
      </c>
      <c r="O116" s="1">
        <v>-28089.77</v>
      </c>
      <c r="P116" s="1">
        <f t="shared" si="103"/>
        <v>-28089.77</v>
      </c>
    </row>
    <row r="117" spans="1:16" ht="15.75" thickBot="1" x14ac:dyDescent="0.3">
      <c r="C117" s="3">
        <f>SUM(C111:C116)</f>
        <v>20382.39</v>
      </c>
      <c r="D117" s="3">
        <f>SUM(D111:D116)</f>
        <v>1200</v>
      </c>
      <c r="E117" s="3">
        <f t="shared" ref="E117:P117" si="104">SUM(E111:E116)</f>
        <v>1200</v>
      </c>
      <c r="F117" s="3">
        <f t="shared" si="104"/>
        <v>1200</v>
      </c>
      <c r="G117" s="3">
        <f t="shared" si="104"/>
        <v>1200</v>
      </c>
      <c r="H117" s="3">
        <f t="shared" si="104"/>
        <v>1200</v>
      </c>
      <c r="I117" s="3">
        <f t="shared" si="104"/>
        <v>2762.31</v>
      </c>
      <c r="J117" s="3">
        <f t="shared" si="104"/>
        <v>1200</v>
      </c>
      <c r="K117" s="3">
        <f t="shared" si="104"/>
        <v>-1995.52</v>
      </c>
      <c r="L117" s="3">
        <f t="shared" si="104"/>
        <v>0.16999999999984539</v>
      </c>
      <c r="M117" s="3">
        <f t="shared" si="104"/>
        <v>1200</v>
      </c>
      <c r="N117" s="3">
        <f t="shared" si="104"/>
        <v>1200</v>
      </c>
      <c r="O117" s="3">
        <f t="shared" si="104"/>
        <v>-26889.77</v>
      </c>
      <c r="P117" s="3">
        <f t="shared" si="104"/>
        <v>3859.5799999999981</v>
      </c>
    </row>
    <row r="118" spans="1:16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P96"/>
  <sheetViews>
    <sheetView workbookViewId="0">
      <selection activeCell="O13" sqref="O13"/>
    </sheetView>
  </sheetViews>
  <sheetFormatPr defaultRowHeight="15" x14ac:dyDescent="0.25"/>
  <cols>
    <col min="2" max="2" width="27.7109375" customWidth="1"/>
    <col min="3" max="16" width="11.42578125" customWidth="1"/>
  </cols>
  <sheetData>
    <row r="10" spans="1:16" x14ac:dyDescent="0.25">
      <c r="C10" t="s">
        <v>19</v>
      </c>
      <c r="D10" s="1" t="s">
        <v>0</v>
      </c>
      <c r="E10" s="1" t="s">
        <v>1</v>
      </c>
      <c r="F10" s="1" t="s">
        <v>2</v>
      </c>
      <c r="G10" s="1" t="s">
        <v>3</v>
      </c>
      <c r="H10" s="1" t="s">
        <v>4</v>
      </c>
      <c r="I10" s="1" t="s">
        <v>5</v>
      </c>
      <c r="J10" s="1" t="s">
        <v>6</v>
      </c>
      <c r="K10" s="1" t="s">
        <v>7</v>
      </c>
      <c r="L10" s="1" t="s">
        <v>8</v>
      </c>
      <c r="M10" s="1" t="s">
        <v>9</v>
      </c>
      <c r="N10" s="1" t="s">
        <v>10</v>
      </c>
      <c r="O10" s="1" t="s">
        <v>11</v>
      </c>
      <c r="P10" s="1" t="s">
        <v>12</v>
      </c>
    </row>
    <row r="11" spans="1:16" x14ac:dyDescent="0.25">
      <c r="A11" s="2">
        <v>2021</v>
      </c>
      <c r="B11" t="s">
        <v>13</v>
      </c>
      <c r="C11" s="4">
        <f>+P30</f>
        <v>49954.80000000001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>SUM(C11:O11)</f>
        <v>49954.80000000001</v>
      </c>
    </row>
    <row r="12" spans="1:16" x14ac:dyDescent="0.25">
      <c r="B12" t="s">
        <v>24</v>
      </c>
      <c r="D12" s="1">
        <v>-14400</v>
      </c>
      <c r="E12" s="1"/>
      <c r="F12" s="1">
        <v>-18000</v>
      </c>
      <c r="G12" s="1"/>
      <c r="H12" s="1">
        <v>-2400</v>
      </c>
      <c r="I12" s="1">
        <v>-1200</v>
      </c>
      <c r="J12" s="1">
        <v>-1200</v>
      </c>
      <c r="K12" s="1">
        <v>-1200</v>
      </c>
      <c r="L12" s="1">
        <v>-1200</v>
      </c>
      <c r="M12" s="1">
        <v>-1200</v>
      </c>
      <c r="N12" s="1">
        <v>-1200</v>
      </c>
      <c r="O12" s="1">
        <v>-1200</v>
      </c>
      <c r="P12" s="1">
        <f t="shared" ref="P12:P18" si="0">SUM(D12:O12)</f>
        <v>-43200</v>
      </c>
    </row>
    <row r="13" spans="1:16" x14ac:dyDescent="0.25">
      <c r="B13" t="s">
        <v>16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0"/>
        <v>0</v>
      </c>
    </row>
    <row r="14" spans="1:16" x14ac:dyDescent="0.25">
      <c r="B14" t="s">
        <v>23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</row>
    <row r="15" spans="1:16" x14ac:dyDescent="0.25">
      <c r="B15" t="s">
        <v>21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0"/>
        <v>0</v>
      </c>
    </row>
    <row r="16" spans="1:16" x14ac:dyDescent="0.25">
      <c r="B16" t="s">
        <v>22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0</v>
      </c>
    </row>
    <row r="17" spans="1:16" x14ac:dyDescent="0.25">
      <c r="B17" t="s">
        <v>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0</v>
      </c>
    </row>
    <row r="18" spans="1:16" x14ac:dyDescent="0.25">
      <c r="B18" t="s">
        <v>18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</row>
    <row r="19" spans="1:16" ht="15.75" thickBot="1" x14ac:dyDescent="0.3">
      <c r="C19" s="5">
        <f>SUM(C11:C18)</f>
        <v>49954.80000000001</v>
      </c>
      <c r="D19" s="5">
        <f t="shared" ref="D19:P19" si="1">SUM(D11:D18)</f>
        <v>-14400</v>
      </c>
      <c r="E19" s="5">
        <f t="shared" si="1"/>
        <v>0</v>
      </c>
      <c r="F19" s="5">
        <f t="shared" si="1"/>
        <v>-18000</v>
      </c>
      <c r="G19" s="5">
        <f t="shared" si="1"/>
        <v>0</v>
      </c>
      <c r="H19" s="5">
        <f t="shared" si="1"/>
        <v>-2400</v>
      </c>
      <c r="I19" s="5">
        <f t="shared" si="1"/>
        <v>-1200</v>
      </c>
      <c r="J19" s="5">
        <f t="shared" si="1"/>
        <v>-1200</v>
      </c>
      <c r="K19" s="5">
        <f t="shared" si="1"/>
        <v>-1200</v>
      </c>
      <c r="L19" s="5">
        <f t="shared" si="1"/>
        <v>-1200</v>
      </c>
      <c r="M19" s="5">
        <f t="shared" si="1"/>
        <v>-1200</v>
      </c>
      <c r="N19" s="5">
        <f t="shared" si="1"/>
        <v>-1200</v>
      </c>
      <c r="O19" s="5">
        <f t="shared" si="1"/>
        <v>-1200</v>
      </c>
      <c r="P19" s="5">
        <f t="shared" si="1"/>
        <v>6754.8000000000102</v>
      </c>
    </row>
    <row r="20" spans="1:16" ht="15.75" thickTop="1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A22" s="2">
        <v>2020</v>
      </c>
      <c r="B22" t="s">
        <v>13</v>
      </c>
      <c r="C22" s="4">
        <f>+P41</f>
        <v>64354.80000000001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>SUM(C22:O22)</f>
        <v>64354.80000000001</v>
      </c>
    </row>
    <row r="23" spans="1:16" x14ac:dyDescent="0.25">
      <c r="B23" t="s">
        <v>24</v>
      </c>
      <c r="D23" s="1">
        <v>-14400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ref="P23:P29" si="2">SUM(D23:O23)</f>
        <v>-14400</v>
      </c>
    </row>
    <row r="24" spans="1:16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f t="shared" si="2"/>
        <v>0</v>
      </c>
    </row>
    <row r="25" spans="1:16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f t="shared" si="2"/>
        <v>0</v>
      </c>
    </row>
    <row r="26" spans="1:16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f t="shared" si="2"/>
        <v>0</v>
      </c>
    </row>
    <row r="27" spans="1:16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 t="shared" si="2"/>
        <v>0</v>
      </c>
    </row>
    <row r="28" spans="1:16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f t="shared" si="2"/>
        <v>0</v>
      </c>
    </row>
    <row r="29" spans="1:16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 t="shared" si="2"/>
        <v>0</v>
      </c>
    </row>
    <row r="30" spans="1:16" ht="15.75" thickBot="1" x14ac:dyDescent="0.3">
      <c r="C30" s="5">
        <f>SUM(C22:C29)</f>
        <v>64354.80000000001</v>
      </c>
      <c r="D30" s="5">
        <f t="shared" ref="D30:P30" si="3">SUM(D22:D29)</f>
        <v>-14400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5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0</v>
      </c>
      <c r="O30" s="5">
        <f t="shared" si="3"/>
        <v>0</v>
      </c>
      <c r="P30" s="5">
        <f t="shared" si="3"/>
        <v>49954.80000000001</v>
      </c>
    </row>
    <row r="31" spans="1:16" ht="15.75" thickTop="1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2">
        <v>2019</v>
      </c>
      <c r="B33" t="s">
        <v>13</v>
      </c>
      <c r="C33" s="4">
        <f>+P52</f>
        <v>112707.48000000001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f>SUM(C33:O33)</f>
        <v>112707.48000000001</v>
      </c>
    </row>
    <row r="34" spans="1:16" x14ac:dyDescent="0.25">
      <c r="B34" t="s">
        <v>24</v>
      </c>
      <c r="D34" s="1">
        <v>-48352.68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>
        <f t="shared" ref="P34:P40" si="4">SUM(D34:O34)</f>
        <v>-48352.68</v>
      </c>
    </row>
    <row r="35" spans="1:16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f t="shared" si="4"/>
        <v>0</v>
      </c>
    </row>
    <row r="36" spans="1:16" x14ac:dyDescent="0.25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>
        <f t="shared" si="4"/>
        <v>0</v>
      </c>
    </row>
    <row r="37" spans="1:16" x14ac:dyDescent="0.25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f t="shared" si="4"/>
        <v>0</v>
      </c>
    </row>
    <row r="38" spans="1:16" x14ac:dyDescent="0.2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f t="shared" si="4"/>
        <v>0</v>
      </c>
    </row>
    <row r="39" spans="1:16" x14ac:dyDescent="0.2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f t="shared" si="4"/>
        <v>0</v>
      </c>
    </row>
    <row r="40" spans="1:16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>
        <f t="shared" si="4"/>
        <v>0</v>
      </c>
    </row>
    <row r="41" spans="1:16" ht="15.75" thickBot="1" x14ac:dyDescent="0.3">
      <c r="C41" s="5">
        <f>SUM(C33:C40)</f>
        <v>112707.48000000001</v>
      </c>
      <c r="D41" s="5">
        <f t="shared" ref="D41:P41" si="5">SUM(D33:D40)</f>
        <v>-48352.68</v>
      </c>
      <c r="E41" s="5">
        <f t="shared" si="5"/>
        <v>0</v>
      </c>
      <c r="F41" s="5">
        <f t="shared" si="5"/>
        <v>0</v>
      </c>
      <c r="G41" s="5">
        <f t="shared" si="5"/>
        <v>0</v>
      </c>
      <c r="H41" s="5">
        <f t="shared" si="5"/>
        <v>0</v>
      </c>
      <c r="I41" s="5">
        <f t="shared" si="5"/>
        <v>0</v>
      </c>
      <c r="J41" s="5">
        <f t="shared" si="5"/>
        <v>0</v>
      </c>
      <c r="K41" s="5">
        <f t="shared" si="5"/>
        <v>0</v>
      </c>
      <c r="L41" s="5">
        <f t="shared" si="5"/>
        <v>0</v>
      </c>
      <c r="M41" s="5">
        <f t="shared" si="5"/>
        <v>0</v>
      </c>
      <c r="N41" s="5">
        <f t="shared" si="5"/>
        <v>0</v>
      </c>
      <c r="O41" s="5">
        <f t="shared" si="5"/>
        <v>0</v>
      </c>
      <c r="P41" s="5">
        <f t="shared" si="5"/>
        <v>64354.80000000001</v>
      </c>
    </row>
    <row r="42" spans="1:16" ht="15.75" thickTop="1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2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2">
        <v>2018</v>
      </c>
      <c r="B44" t="s">
        <v>13</v>
      </c>
      <c r="C44" s="4">
        <f>+P63</f>
        <v>112707.48000000001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f>SUM(C44:O44)</f>
        <v>112707.48000000001</v>
      </c>
    </row>
    <row r="45" spans="1:16" x14ac:dyDescent="0.2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f t="shared" ref="P45:P51" si="6">SUM(D45:O45)</f>
        <v>0</v>
      </c>
    </row>
    <row r="46" spans="1:16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>
        <f t="shared" si="6"/>
        <v>0</v>
      </c>
    </row>
    <row r="47" spans="1:16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>
        <f t="shared" si="6"/>
        <v>0</v>
      </c>
    </row>
    <row r="48" spans="1:16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>
        <f t="shared" si="6"/>
        <v>0</v>
      </c>
    </row>
    <row r="49" spans="1:16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>
        <f t="shared" si="6"/>
        <v>0</v>
      </c>
    </row>
    <row r="50" spans="1:16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>
        <f t="shared" si="6"/>
        <v>0</v>
      </c>
    </row>
    <row r="51" spans="1:16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>
        <f t="shared" si="6"/>
        <v>0</v>
      </c>
    </row>
    <row r="52" spans="1:16" ht="15.75" thickBot="1" x14ac:dyDescent="0.3">
      <c r="C52" s="5">
        <f>SUM(C44:C51)</f>
        <v>112707.48000000001</v>
      </c>
      <c r="D52" s="5">
        <f t="shared" ref="D52:P52" si="7">SUM(D44:D51)</f>
        <v>0</v>
      </c>
      <c r="E52" s="5">
        <f t="shared" si="7"/>
        <v>0</v>
      </c>
      <c r="F52" s="5">
        <f t="shared" si="7"/>
        <v>0</v>
      </c>
      <c r="G52" s="5">
        <f t="shared" si="7"/>
        <v>0</v>
      </c>
      <c r="H52" s="5">
        <f t="shared" si="7"/>
        <v>0</v>
      </c>
      <c r="I52" s="5">
        <f t="shared" si="7"/>
        <v>0</v>
      </c>
      <c r="J52" s="5">
        <f t="shared" si="7"/>
        <v>0</v>
      </c>
      <c r="K52" s="5">
        <f t="shared" si="7"/>
        <v>0</v>
      </c>
      <c r="L52" s="5">
        <f t="shared" si="7"/>
        <v>0</v>
      </c>
      <c r="M52" s="5">
        <f t="shared" si="7"/>
        <v>0</v>
      </c>
      <c r="N52" s="5">
        <f t="shared" si="7"/>
        <v>0</v>
      </c>
      <c r="O52" s="5">
        <f t="shared" si="7"/>
        <v>0</v>
      </c>
      <c r="P52" s="5">
        <f t="shared" si="7"/>
        <v>112707.48000000001</v>
      </c>
    </row>
    <row r="53" spans="1:16" ht="15.75" thickTop="1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2">
        <v>2017</v>
      </c>
      <c r="B55" t="s">
        <v>13</v>
      </c>
      <c r="C55" s="4">
        <f>+P74</f>
        <v>112707.48000000001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f>SUM(C55:O55)</f>
        <v>112707.48000000001</v>
      </c>
    </row>
    <row r="56" spans="1:16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>
        <f t="shared" ref="P56:P62" si="8">SUM(D56:O56)</f>
        <v>0</v>
      </c>
    </row>
    <row r="57" spans="1:16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>
        <f t="shared" si="8"/>
        <v>0</v>
      </c>
    </row>
    <row r="58" spans="1:16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>
        <f t="shared" si="8"/>
        <v>0</v>
      </c>
    </row>
    <row r="59" spans="1:16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>
        <f t="shared" si="8"/>
        <v>0</v>
      </c>
    </row>
    <row r="60" spans="1:16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>
        <f t="shared" si="8"/>
        <v>0</v>
      </c>
    </row>
    <row r="61" spans="1:16" x14ac:dyDescent="0.2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>
        <f t="shared" si="8"/>
        <v>0</v>
      </c>
    </row>
    <row r="62" spans="1:16" x14ac:dyDescent="0.2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>
        <f t="shared" si="8"/>
        <v>0</v>
      </c>
    </row>
    <row r="63" spans="1:16" ht="15.75" thickBot="1" x14ac:dyDescent="0.3">
      <c r="C63" s="5">
        <f>SUM(C55:C62)</f>
        <v>112707.48000000001</v>
      </c>
      <c r="D63" s="5">
        <f t="shared" ref="D63:P63" si="9">SUM(D55:D62)</f>
        <v>0</v>
      </c>
      <c r="E63" s="5">
        <f t="shared" si="9"/>
        <v>0</v>
      </c>
      <c r="F63" s="5">
        <f t="shared" si="9"/>
        <v>0</v>
      </c>
      <c r="G63" s="5">
        <f t="shared" si="9"/>
        <v>0</v>
      </c>
      <c r="H63" s="5">
        <f t="shared" si="9"/>
        <v>0</v>
      </c>
      <c r="I63" s="5">
        <f t="shared" si="9"/>
        <v>0</v>
      </c>
      <c r="J63" s="5">
        <f t="shared" si="9"/>
        <v>0</v>
      </c>
      <c r="K63" s="5">
        <f t="shared" si="9"/>
        <v>0</v>
      </c>
      <c r="L63" s="5">
        <f t="shared" si="9"/>
        <v>0</v>
      </c>
      <c r="M63" s="5">
        <f t="shared" si="9"/>
        <v>0</v>
      </c>
      <c r="N63" s="5">
        <f t="shared" si="9"/>
        <v>0</v>
      </c>
      <c r="O63" s="5">
        <f t="shared" si="9"/>
        <v>0</v>
      </c>
      <c r="P63" s="5">
        <f t="shared" si="9"/>
        <v>112707.48000000001</v>
      </c>
    </row>
    <row r="64" spans="1:16" ht="15.75" thickTop="1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2">
        <v>2016</v>
      </c>
      <c r="B66" t="s">
        <v>13</v>
      </c>
      <c r="C66" s="4">
        <f>+P86</f>
        <v>112707.48000000001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>SUM(C66:O66)</f>
        <v>112707.48000000001</v>
      </c>
    </row>
    <row r="67" spans="1:16" x14ac:dyDescent="0.25">
      <c r="A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>
        <f t="shared" ref="P67:P73" si="10">SUM(D67:O67)</f>
        <v>0</v>
      </c>
    </row>
    <row r="68" spans="1:16" x14ac:dyDescent="0.25">
      <c r="A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>
        <f t="shared" si="10"/>
        <v>0</v>
      </c>
    </row>
    <row r="69" spans="1:16" x14ac:dyDescent="0.25">
      <c r="A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>
        <f t="shared" si="10"/>
        <v>0</v>
      </c>
    </row>
    <row r="70" spans="1:16" x14ac:dyDescent="0.25">
      <c r="A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>
        <f t="shared" si="10"/>
        <v>0</v>
      </c>
    </row>
    <row r="71" spans="1:16" x14ac:dyDescent="0.25">
      <c r="A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>
        <f t="shared" si="10"/>
        <v>0</v>
      </c>
    </row>
    <row r="72" spans="1:16" x14ac:dyDescent="0.2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>
        <f t="shared" si="10"/>
        <v>0</v>
      </c>
    </row>
    <row r="73" spans="1:16" x14ac:dyDescent="0.2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>
        <f t="shared" si="10"/>
        <v>0</v>
      </c>
    </row>
    <row r="74" spans="1:16" ht="15.75" thickBot="1" x14ac:dyDescent="0.3">
      <c r="C74" s="5">
        <f>SUM(C66:C73)</f>
        <v>112707.48000000001</v>
      </c>
      <c r="D74" s="5">
        <f t="shared" ref="D74:P74" si="11">SUM(D66:D73)</f>
        <v>0</v>
      </c>
      <c r="E74" s="5">
        <f t="shared" si="11"/>
        <v>0</v>
      </c>
      <c r="F74" s="5">
        <f t="shared" si="11"/>
        <v>0</v>
      </c>
      <c r="G74" s="5">
        <f t="shared" si="11"/>
        <v>0</v>
      </c>
      <c r="H74" s="5">
        <f t="shared" si="11"/>
        <v>0</v>
      </c>
      <c r="I74" s="5">
        <f t="shared" si="11"/>
        <v>0</v>
      </c>
      <c r="J74" s="5">
        <f t="shared" si="11"/>
        <v>0</v>
      </c>
      <c r="K74" s="5">
        <f t="shared" si="11"/>
        <v>0</v>
      </c>
      <c r="L74" s="5">
        <f t="shared" si="11"/>
        <v>0</v>
      </c>
      <c r="M74" s="5">
        <f t="shared" si="11"/>
        <v>0</v>
      </c>
      <c r="N74" s="5">
        <f t="shared" si="11"/>
        <v>0</v>
      </c>
      <c r="O74" s="5">
        <f t="shared" si="11"/>
        <v>0</v>
      </c>
      <c r="P74" s="5">
        <f t="shared" si="11"/>
        <v>112707.48000000001</v>
      </c>
    </row>
    <row r="75" spans="1:16" ht="15.75" thickTop="1" x14ac:dyDescent="0.2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2">
        <v>2015</v>
      </c>
      <c r="B79" t="s">
        <v>13</v>
      </c>
      <c r="C79" s="4">
        <f>+P95</f>
        <v>112707.48000000001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>SUM(C79:O79)</f>
        <v>112707.48000000001</v>
      </c>
    </row>
    <row r="80" spans="1:16" x14ac:dyDescent="0.2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>
        <f t="shared" ref="P80:P85" si="12">SUM(D80:O80)</f>
        <v>0</v>
      </c>
    </row>
    <row r="81" spans="1:16" x14ac:dyDescent="0.2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>
        <f t="shared" si="12"/>
        <v>0</v>
      </c>
    </row>
    <row r="82" spans="1:16" x14ac:dyDescent="0.2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>
        <f t="shared" si="12"/>
        <v>0</v>
      </c>
    </row>
    <row r="83" spans="1:16" x14ac:dyDescent="0.2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>
        <f t="shared" si="12"/>
        <v>0</v>
      </c>
    </row>
    <row r="84" spans="1:16" x14ac:dyDescent="0.2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>
        <f t="shared" si="12"/>
        <v>0</v>
      </c>
    </row>
    <row r="85" spans="1:16" x14ac:dyDescent="0.2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>
        <f t="shared" si="12"/>
        <v>0</v>
      </c>
    </row>
    <row r="86" spans="1:16" ht="15.75" thickBot="1" x14ac:dyDescent="0.3">
      <c r="C86" s="5">
        <f>SUM(C79:C85)</f>
        <v>112707.48000000001</v>
      </c>
      <c r="D86" s="5">
        <f t="shared" ref="D86:P86" si="13">SUM(D79:D85)</f>
        <v>0</v>
      </c>
      <c r="E86" s="5">
        <f t="shared" si="13"/>
        <v>0</v>
      </c>
      <c r="F86" s="5">
        <f t="shared" si="13"/>
        <v>0</v>
      </c>
      <c r="G86" s="5">
        <f t="shared" si="13"/>
        <v>0</v>
      </c>
      <c r="H86" s="5">
        <f t="shared" si="13"/>
        <v>0</v>
      </c>
      <c r="I86" s="5">
        <f t="shared" si="13"/>
        <v>0</v>
      </c>
      <c r="J86" s="5">
        <f t="shared" si="13"/>
        <v>0</v>
      </c>
      <c r="K86" s="5">
        <f t="shared" si="13"/>
        <v>0</v>
      </c>
      <c r="L86" s="5">
        <f t="shared" si="13"/>
        <v>0</v>
      </c>
      <c r="M86" s="5">
        <f t="shared" si="13"/>
        <v>0</v>
      </c>
      <c r="N86" s="5">
        <f t="shared" si="13"/>
        <v>0</v>
      </c>
      <c r="O86" s="5">
        <f t="shared" si="13"/>
        <v>0</v>
      </c>
      <c r="P86" s="5">
        <f t="shared" si="13"/>
        <v>112707.48000000001</v>
      </c>
    </row>
    <row r="87" spans="1:16" ht="15.75" thickTop="1" x14ac:dyDescent="0.2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2">
        <v>2014</v>
      </c>
      <c r="B88" t="s">
        <v>13</v>
      </c>
      <c r="C88" s="4">
        <f>+P103</f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>SUM(C88:O88)</f>
        <v>0</v>
      </c>
    </row>
    <row r="89" spans="1:16" x14ac:dyDescent="0.2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>
        <v>79241.8</v>
      </c>
      <c r="P89" s="1">
        <f t="shared" ref="P89:P94" si="14">SUM(D89:O89)</f>
        <v>79241.8</v>
      </c>
    </row>
    <row r="90" spans="1:16" x14ac:dyDescent="0.2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>
        <v>33465.68</v>
      </c>
      <c r="P90" s="1">
        <f t="shared" si="14"/>
        <v>33465.68</v>
      </c>
    </row>
    <row r="91" spans="1:16" x14ac:dyDescent="0.2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>
        <f t="shared" si="14"/>
        <v>0</v>
      </c>
    </row>
    <row r="92" spans="1:16" x14ac:dyDescent="0.2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>
        <f t="shared" si="14"/>
        <v>0</v>
      </c>
    </row>
    <row r="93" spans="1:16" x14ac:dyDescent="0.2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>
        <f t="shared" si="14"/>
        <v>0</v>
      </c>
    </row>
    <row r="94" spans="1:16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>
        <f t="shared" si="14"/>
        <v>0</v>
      </c>
    </row>
    <row r="95" spans="1:16" ht="15.75" thickBot="1" x14ac:dyDescent="0.3">
      <c r="C95" s="5">
        <f>SUM(C88:C94)</f>
        <v>0</v>
      </c>
      <c r="D95" s="5">
        <f t="shared" ref="D95:P95" si="15">SUM(D88:D94)</f>
        <v>0</v>
      </c>
      <c r="E95" s="5">
        <f t="shared" si="15"/>
        <v>0</v>
      </c>
      <c r="F95" s="5">
        <f t="shared" si="15"/>
        <v>0</v>
      </c>
      <c r="G95" s="5">
        <f t="shared" si="15"/>
        <v>0</v>
      </c>
      <c r="H95" s="5">
        <f t="shared" si="15"/>
        <v>0</v>
      </c>
      <c r="I95" s="5">
        <f t="shared" si="15"/>
        <v>0</v>
      </c>
      <c r="J95" s="5">
        <f t="shared" si="15"/>
        <v>0</v>
      </c>
      <c r="K95" s="5">
        <f t="shared" si="15"/>
        <v>0</v>
      </c>
      <c r="L95" s="5">
        <f t="shared" si="15"/>
        <v>0</v>
      </c>
      <c r="M95" s="5">
        <f t="shared" si="15"/>
        <v>0</v>
      </c>
      <c r="N95" s="5">
        <f t="shared" si="15"/>
        <v>0</v>
      </c>
      <c r="O95" s="5">
        <f t="shared" si="15"/>
        <v>112707.48000000001</v>
      </c>
      <c r="P95" s="5">
        <f t="shared" si="15"/>
        <v>112707.48000000001</v>
      </c>
    </row>
    <row r="96" spans="1:16" ht="15.75" thickTop="1" x14ac:dyDescent="0.2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J4" sqref="J4"/>
    </sheetView>
  </sheetViews>
  <sheetFormatPr defaultRowHeight="15" x14ac:dyDescent="0.25"/>
  <cols>
    <col min="2" max="2" width="27.42578125" customWidth="1"/>
    <col min="3" max="3" width="12.7109375" customWidth="1"/>
    <col min="4" max="7" width="11.28515625" style="1" bestFit="1" customWidth="1"/>
    <col min="8" max="8" width="10.28515625" style="1" bestFit="1" customWidth="1"/>
    <col min="9" max="9" width="12.28515625" style="1" bestFit="1" customWidth="1"/>
    <col min="10" max="11" width="11.28515625" style="1" bestFit="1" customWidth="1"/>
    <col min="12" max="13" width="12.28515625" style="1" bestFit="1" customWidth="1"/>
    <col min="14" max="14" width="11.28515625" style="1" bestFit="1" customWidth="1"/>
    <col min="15" max="16" width="12.28515625" style="1" bestFit="1" customWidth="1"/>
  </cols>
  <sheetData>
    <row r="1" spans="1:16" x14ac:dyDescent="0.25">
      <c r="A1" t="s">
        <v>25</v>
      </c>
    </row>
    <row r="2" spans="1:16" x14ac:dyDescent="0.25">
      <c r="A2" t="s">
        <v>26</v>
      </c>
    </row>
    <row r="8" spans="1:16" x14ac:dyDescent="0.25">
      <c r="C8" t="s">
        <v>19</v>
      </c>
      <c r="D8" s="1" t="s">
        <v>0</v>
      </c>
      <c r="E8" s="1" t="s">
        <v>1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8</v>
      </c>
      <c r="M8" s="1" t="s">
        <v>9</v>
      </c>
      <c r="N8" s="1" t="s">
        <v>10</v>
      </c>
      <c r="O8" s="1" t="s">
        <v>11</v>
      </c>
      <c r="P8" s="1" t="s">
        <v>12</v>
      </c>
    </row>
    <row r="9" spans="1:16" x14ac:dyDescent="0.25">
      <c r="A9" s="2">
        <v>2021</v>
      </c>
      <c r="B9" t="s">
        <v>13</v>
      </c>
      <c r="C9" s="4">
        <f>+P40</f>
        <v>5.4933479987084866E-10</v>
      </c>
      <c r="D9" s="1">
        <v>10570.67</v>
      </c>
      <c r="E9" s="1">
        <v>10570.67</v>
      </c>
      <c r="F9" s="1">
        <v>10570.67</v>
      </c>
      <c r="G9" s="1">
        <v>10570.67</v>
      </c>
      <c r="H9" s="1">
        <v>10570.67</v>
      </c>
      <c r="I9" s="1">
        <v>10570.67</v>
      </c>
      <c r="J9" s="1">
        <v>10570.67</v>
      </c>
      <c r="K9" s="1">
        <v>10570.67</v>
      </c>
      <c r="L9" s="1">
        <v>10570.67</v>
      </c>
      <c r="M9" s="1">
        <v>10570.67</v>
      </c>
      <c r="N9" s="1">
        <v>10570.67</v>
      </c>
      <c r="O9" s="1">
        <v>10570.67</v>
      </c>
      <c r="P9" s="1">
        <f>SUM(C9:O9)</f>
        <v>126848.04000000053</v>
      </c>
    </row>
    <row r="10" spans="1:16" x14ac:dyDescent="0.25">
      <c r="A10" s="2"/>
      <c r="B10" t="s">
        <v>45</v>
      </c>
      <c r="C10" s="4"/>
      <c r="J10" s="1">
        <v>-11186.84</v>
      </c>
      <c r="P10" s="1">
        <f t="shared" ref="P10:P23" si="0">SUM(C10:O10)</f>
        <v>-11186.84</v>
      </c>
    </row>
    <row r="11" spans="1:16" x14ac:dyDescent="0.25">
      <c r="B11" t="s">
        <v>44</v>
      </c>
      <c r="P11" s="1">
        <f t="shared" si="0"/>
        <v>0</v>
      </c>
    </row>
    <row r="12" spans="1:16" x14ac:dyDescent="0.25">
      <c r="B12" t="s">
        <v>43</v>
      </c>
      <c r="P12" s="1">
        <f t="shared" si="0"/>
        <v>0</v>
      </c>
    </row>
    <row r="13" spans="1:16" x14ac:dyDescent="0.25">
      <c r="B13" t="s">
        <v>32</v>
      </c>
      <c r="P13" s="1">
        <f t="shared" si="0"/>
        <v>0</v>
      </c>
    </row>
    <row r="14" spans="1:16" x14ac:dyDescent="0.25">
      <c r="B14" t="s">
        <v>39</v>
      </c>
      <c r="P14" s="1">
        <f t="shared" si="0"/>
        <v>0</v>
      </c>
    </row>
    <row r="15" spans="1:16" x14ac:dyDescent="0.25">
      <c r="B15" t="s">
        <v>42</v>
      </c>
      <c r="D15" s="1">
        <v>-4818.51</v>
      </c>
      <c r="F15" s="1">
        <v>4818.51</v>
      </c>
      <c r="N15" s="1">
        <v>-9427.1</v>
      </c>
      <c r="P15" s="1">
        <f t="shared" si="0"/>
        <v>-9427.1</v>
      </c>
    </row>
    <row r="16" spans="1:16" s="7" customFormat="1" x14ac:dyDescent="0.25">
      <c r="B16" t="s">
        <v>22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">
        <f t="shared" si="0"/>
        <v>0</v>
      </c>
    </row>
    <row r="17" spans="1:16" s="9" customFormat="1" x14ac:dyDescent="0.25">
      <c r="B17" s="9" t="s">
        <v>31</v>
      </c>
      <c r="D17" s="10">
        <f>-360-360-360-305-790-6714</f>
        <v>-8889</v>
      </c>
      <c r="E17" s="10">
        <f>-11246.07-1171.19-2075</f>
        <v>-14492.26</v>
      </c>
      <c r="F17" s="10">
        <f>-690-5279.98-360-4244.92-150-790-360-360-370.41-2200-360-1158.79-325</f>
        <v>-16649.099999999999</v>
      </c>
      <c r="G17" s="10"/>
      <c r="H17" s="10">
        <f>-109.75-330-125-1040-2200-305-4695.82</f>
        <v>-8805.57</v>
      </c>
      <c r="I17" s="10">
        <f>-360-287.65-360-690-1110.34-44.28</f>
        <v>-2852.27</v>
      </c>
      <c r="J17" s="10">
        <f>-157.3-212.26-3500+360</f>
        <v>-3509.56</v>
      </c>
      <c r="K17" s="10"/>
      <c r="L17" s="10">
        <f>-97-181.22</f>
        <v>-278.22000000000003</v>
      </c>
      <c r="M17" s="10"/>
      <c r="N17" s="10"/>
      <c r="O17" s="10"/>
      <c r="P17" s="1">
        <f t="shared" si="0"/>
        <v>-55475.979999999996</v>
      </c>
    </row>
    <row r="18" spans="1:16" s="9" customFormat="1" x14ac:dyDescent="0.25">
      <c r="B18" s="9" t="s">
        <v>47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f>-1535-1535</f>
        <v>-3070</v>
      </c>
      <c r="O18" s="10">
        <f>-1535-1535</f>
        <v>-3070</v>
      </c>
      <c r="P18" s="1">
        <f t="shared" si="0"/>
        <v>-6140</v>
      </c>
    </row>
    <row r="19" spans="1:16" s="7" customFormat="1" x14ac:dyDescent="0.25">
      <c r="B19" t="s">
        <v>46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">
        <f t="shared" si="0"/>
        <v>0</v>
      </c>
    </row>
    <row r="20" spans="1:16" s="7" customFormat="1" x14ac:dyDescent="0.25">
      <c r="B20" t="s">
        <v>37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">
        <f t="shared" si="0"/>
        <v>0</v>
      </c>
    </row>
    <row r="21" spans="1:16" s="7" customFormat="1" x14ac:dyDescent="0.25">
      <c r="B21" t="s">
        <v>41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">
        <f t="shared" si="0"/>
        <v>0</v>
      </c>
    </row>
    <row r="22" spans="1:16" s="7" customFormat="1" x14ac:dyDescent="0.25">
      <c r="B22" t="s">
        <v>40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">
        <f t="shared" si="0"/>
        <v>0</v>
      </c>
    </row>
    <row r="23" spans="1:16" x14ac:dyDescent="0.25">
      <c r="B23" t="s">
        <v>18</v>
      </c>
      <c r="P23" s="1">
        <f t="shared" si="0"/>
        <v>0</v>
      </c>
    </row>
    <row r="24" spans="1:16" ht="15.75" thickBot="1" x14ac:dyDescent="0.3">
      <c r="C24" s="5">
        <f t="shared" ref="C24:P24" si="1">SUM(C9:C23)</f>
        <v>5.4933479987084866E-10</v>
      </c>
      <c r="D24" s="5">
        <f t="shared" si="1"/>
        <v>-3136.84</v>
      </c>
      <c r="E24" s="5">
        <f t="shared" si="1"/>
        <v>-3921.59</v>
      </c>
      <c r="F24" s="5">
        <f t="shared" si="1"/>
        <v>-1259.9199999999983</v>
      </c>
      <c r="G24" s="5">
        <f t="shared" si="1"/>
        <v>10570.67</v>
      </c>
      <c r="H24" s="5">
        <f t="shared" si="1"/>
        <v>1765.1000000000004</v>
      </c>
      <c r="I24" s="5">
        <f t="shared" si="1"/>
        <v>7718.4</v>
      </c>
      <c r="J24" s="5">
        <f t="shared" si="1"/>
        <v>-4125.7299999999996</v>
      </c>
      <c r="K24" s="5">
        <f t="shared" si="1"/>
        <v>10570.67</v>
      </c>
      <c r="L24" s="5">
        <f t="shared" si="1"/>
        <v>10292.450000000001</v>
      </c>
      <c r="M24" s="5">
        <f t="shared" si="1"/>
        <v>10570.67</v>
      </c>
      <c r="N24" s="5">
        <f t="shared" si="1"/>
        <v>-1926.4300000000003</v>
      </c>
      <c r="O24" s="5">
        <f t="shared" si="1"/>
        <v>7500.67</v>
      </c>
      <c r="P24" s="5">
        <f t="shared" si="1"/>
        <v>44618.120000000534</v>
      </c>
    </row>
    <row r="25" spans="1:16" ht="15.75" thickTop="1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A27" s="2">
        <v>2020</v>
      </c>
      <c r="B27" t="s">
        <v>13</v>
      </c>
      <c r="C27" s="4">
        <f>+P55</f>
        <v>104874.73000000039</v>
      </c>
      <c r="D27" s="1">
        <v>10570.67</v>
      </c>
      <c r="E27" s="1">
        <v>10570.67</v>
      </c>
      <c r="F27" s="1">
        <v>10570.67</v>
      </c>
      <c r="G27" s="1">
        <v>10570.67</v>
      </c>
      <c r="H27" s="1">
        <v>10570.67</v>
      </c>
      <c r="I27" s="1">
        <v>10570.67</v>
      </c>
      <c r="J27" s="1">
        <v>10570.67</v>
      </c>
      <c r="K27" s="1">
        <v>10570.67</v>
      </c>
      <c r="L27" s="1">
        <v>10570.67</v>
      </c>
      <c r="M27" s="1">
        <v>10570.67</v>
      </c>
      <c r="N27" s="1">
        <v>10570.67</v>
      </c>
      <c r="O27" s="1">
        <v>10570.67</v>
      </c>
      <c r="P27" s="1">
        <f>SUM(C27:O27)</f>
        <v>231722.77000000051</v>
      </c>
    </row>
    <row r="28" spans="1:16" x14ac:dyDescent="0.25">
      <c r="A28" s="2"/>
      <c r="B28" t="s">
        <v>44</v>
      </c>
      <c r="C28" s="4"/>
      <c r="L28" s="1">
        <v>-1172.6400000000001</v>
      </c>
      <c r="P28" s="1">
        <f t="shared" ref="P28:P39" si="2">SUM(D28:O28)</f>
        <v>-1172.6400000000001</v>
      </c>
    </row>
    <row r="29" spans="1:16" x14ac:dyDescent="0.25">
      <c r="B29" t="s">
        <v>43</v>
      </c>
      <c r="P29" s="1">
        <f t="shared" si="2"/>
        <v>0</v>
      </c>
    </row>
    <row r="30" spans="1:16" x14ac:dyDescent="0.25">
      <c r="B30" t="s">
        <v>32</v>
      </c>
      <c r="P30" s="1">
        <f t="shared" si="2"/>
        <v>0</v>
      </c>
    </row>
    <row r="31" spans="1:16" x14ac:dyDescent="0.25">
      <c r="B31" t="s">
        <v>39</v>
      </c>
      <c r="D31" s="1">
        <f>-500-1500</f>
        <v>-2000</v>
      </c>
      <c r="P31" s="1">
        <f t="shared" si="2"/>
        <v>-2000</v>
      </c>
    </row>
    <row r="32" spans="1:16" x14ac:dyDescent="0.25">
      <c r="B32" t="s">
        <v>42</v>
      </c>
      <c r="F32" s="1">
        <f>-4226.58</f>
        <v>-4226.58</v>
      </c>
      <c r="P32" s="1">
        <f t="shared" si="2"/>
        <v>-4226.58</v>
      </c>
    </row>
    <row r="33" spans="1:16" x14ac:dyDescent="0.25">
      <c r="B33" t="s">
        <v>22</v>
      </c>
      <c r="D33" s="1">
        <v>-12773.62</v>
      </c>
      <c r="E33" s="1">
        <v>-25028.49</v>
      </c>
      <c r="F33" s="1">
        <f>-1224.33-4695.51-537.3-710.04</f>
        <v>-7167.18</v>
      </c>
      <c r="J33" s="1">
        <v>-14448.15</v>
      </c>
      <c r="L33" s="1">
        <v>-2882.49</v>
      </c>
      <c r="M33" s="1">
        <v>14687.85</v>
      </c>
      <c r="N33" s="1">
        <v>-14687.85</v>
      </c>
      <c r="P33" s="1">
        <f t="shared" si="2"/>
        <v>-62299.93</v>
      </c>
    </row>
    <row r="34" spans="1:16" x14ac:dyDescent="0.25">
      <c r="B34" t="s">
        <v>31</v>
      </c>
      <c r="D34" s="1">
        <f>-296.1-1025-25000-325-325-84.6</f>
        <v>-27055.699999999997</v>
      </c>
      <c r="E34" s="1">
        <f>-500.08-42.3-56.4-325</f>
        <v>-923.78</v>
      </c>
      <c r="F34" s="1">
        <f>-305-112.8-141-325-183.22</f>
        <v>-1067.02</v>
      </c>
      <c r="H34" s="1">
        <f>-325-253.8-98.7</f>
        <v>-677.5</v>
      </c>
      <c r="I34" s="1">
        <f>-325-211.5-253.8-980-275</f>
        <v>-2045.3</v>
      </c>
      <c r="J34" s="1">
        <v>-239.7</v>
      </c>
      <c r="K34" s="1">
        <f>-197.4-10000-635-303.6-325-239.7</f>
        <v>-11700.7</v>
      </c>
      <c r="L34" s="1">
        <f>-305-3933.24-2171.95-325-282</f>
        <v>-7017.19</v>
      </c>
      <c r="M34" s="1">
        <f>-97002.1-2478</f>
        <v>-99480.1</v>
      </c>
      <c r="N34" s="1">
        <f>-2200-360-817.8-936.06-2090</f>
        <v>-6403.8600000000006</v>
      </c>
      <c r="O34" s="1">
        <f>-3922.74-325-5792.98-360-125-1075.46</f>
        <v>-11601.18</v>
      </c>
      <c r="P34" s="1">
        <f t="shared" si="2"/>
        <v>-168212.02999999997</v>
      </c>
    </row>
    <row r="35" spans="1:16" x14ac:dyDescent="0.25">
      <c r="B35" t="s">
        <v>46</v>
      </c>
      <c r="P35" s="1">
        <f t="shared" si="2"/>
        <v>0</v>
      </c>
    </row>
    <row r="36" spans="1:16" x14ac:dyDescent="0.25">
      <c r="B36" t="s">
        <v>37</v>
      </c>
      <c r="P36" s="1">
        <f t="shared" si="2"/>
        <v>0</v>
      </c>
    </row>
    <row r="37" spans="1:16" x14ac:dyDescent="0.25">
      <c r="B37" t="s">
        <v>41</v>
      </c>
      <c r="P37" s="1">
        <f t="shared" si="2"/>
        <v>0</v>
      </c>
    </row>
    <row r="38" spans="1:16" x14ac:dyDescent="0.25">
      <c r="B38" t="s">
        <v>40</v>
      </c>
      <c r="J38" s="1">
        <v>1485.17</v>
      </c>
      <c r="P38" s="1">
        <f t="shared" si="2"/>
        <v>1485.17</v>
      </c>
    </row>
    <row r="39" spans="1:16" x14ac:dyDescent="0.25">
      <c r="B39" t="s">
        <v>18</v>
      </c>
      <c r="M39" s="1">
        <v>7839.54</v>
      </c>
      <c r="N39" s="1">
        <f>-7839.54+3672.73</f>
        <v>-4166.8099999999995</v>
      </c>
      <c r="O39" s="1">
        <f>-3672.73+4703.24</f>
        <v>1030.5099999999998</v>
      </c>
      <c r="P39" s="1">
        <f t="shared" si="2"/>
        <v>4703.24</v>
      </c>
    </row>
    <row r="40" spans="1:16" ht="15.75" thickBot="1" x14ac:dyDescent="0.3">
      <c r="C40" s="5">
        <f t="shared" ref="C40:P40" si="3">SUM(C27:C39)</f>
        <v>104874.73000000039</v>
      </c>
      <c r="D40" s="5">
        <f t="shared" si="3"/>
        <v>-31258.649999999998</v>
      </c>
      <c r="E40" s="5">
        <f t="shared" si="3"/>
        <v>-15381.600000000002</v>
      </c>
      <c r="F40" s="5">
        <f t="shared" si="3"/>
        <v>-1890.1100000000001</v>
      </c>
      <c r="G40" s="5">
        <f t="shared" si="3"/>
        <v>10570.67</v>
      </c>
      <c r="H40" s="5">
        <f t="shared" si="3"/>
        <v>9893.17</v>
      </c>
      <c r="I40" s="5">
        <f t="shared" si="3"/>
        <v>8525.3700000000008</v>
      </c>
      <c r="J40" s="5">
        <f t="shared" si="3"/>
        <v>-2632.0099999999993</v>
      </c>
      <c r="K40" s="5">
        <f t="shared" si="3"/>
        <v>-1130.0300000000007</v>
      </c>
      <c r="L40" s="5">
        <f t="shared" si="3"/>
        <v>-501.64999999999873</v>
      </c>
      <c r="M40" s="5">
        <f t="shared" si="3"/>
        <v>-66382.040000000008</v>
      </c>
      <c r="N40" s="5">
        <f t="shared" si="3"/>
        <v>-14687.85</v>
      </c>
      <c r="O40" s="5">
        <f t="shared" si="3"/>
        <v>0</v>
      </c>
      <c r="P40" s="5">
        <f t="shared" si="3"/>
        <v>5.4933479987084866E-10</v>
      </c>
    </row>
    <row r="41" spans="1:16" ht="15.75" thickTop="1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3" spans="1:16" x14ac:dyDescent="0.25">
      <c r="A43" s="2">
        <v>2019</v>
      </c>
      <c r="B43" t="s">
        <v>13</v>
      </c>
      <c r="C43" s="4">
        <f>+P70</f>
        <v>66427.780000000319</v>
      </c>
      <c r="D43" s="1">
        <v>10570.67</v>
      </c>
      <c r="E43" s="1">
        <v>10570.67</v>
      </c>
      <c r="F43" s="1">
        <v>10570.67</v>
      </c>
      <c r="G43" s="1">
        <v>10570.67</v>
      </c>
      <c r="H43" s="1">
        <v>10570.67</v>
      </c>
      <c r="I43" s="1">
        <v>10570.67</v>
      </c>
      <c r="J43" s="1">
        <v>10570.67</v>
      </c>
      <c r="K43" s="1">
        <v>10570.67</v>
      </c>
      <c r="L43" s="1">
        <v>10570.67</v>
      </c>
      <c r="M43" s="1">
        <v>10570.67</v>
      </c>
      <c r="N43" s="1">
        <v>10570.67</v>
      </c>
      <c r="O43" s="1">
        <v>10570.67</v>
      </c>
      <c r="P43" s="1">
        <f>SUM(C43:O43)</f>
        <v>193275.82000000039</v>
      </c>
    </row>
    <row r="44" spans="1:16" x14ac:dyDescent="0.25">
      <c r="B44" t="s">
        <v>43</v>
      </c>
      <c r="O44" s="1">
        <v>-440.5</v>
      </c>
      <c r="P44" s="1">
        <f t="shared" ref="P44:P54" si="4">SUM(D44:O44)</f>
        <v>-440.5</v>
      </c>
    </row>
    <row r="45" spans="1:16" x14ac:dyDescent="0.25">
      <c r="B45" t="s">
        <v>32</v>
      </c>
      <c r="E45" s="1">
        <v>-524.58000000000004</v>
      </c>
      <c r="K45" s="1">
        <v>-575.63</v>
      </c>
      <c r="N45" s="1">
        <v>-106.97</v>
      </c>
      <c r="P45" s="1">
        <f t="shared" si="4"/>
        <v>-1207.18</v>
      </c>
    </row>
    <row r="46" spans="1:16" x14ac:dyDescent="0.25">
      <c r="B46" t="s">
        <v>39</v>
      </c>
      <c r="J46" s="1">
        <v>-2500</v>
      </c>
      <c r="P46" s="1">
        <f t="shared" si="4"/>
        <v>-2500</v>
      </c>
    </row>
    <row r="47" spans="1:16" x14ac:dyDescent="0.25">
      <c r="B47" t="s">
        <v>42</v>
      </c>
      <c r="D47" s="1">
        <v>-11766.55</v>
      </c>
      <c r="F47" s="1">
        <v>-3863.02</v>
      </c>
      <c r="G47" s="1">
        <f>-3941.47-1053.29</f>
        <v>-4994.76</v>
      </c>
      <c r="K47" s="1">
        <v>-2947.75</v>
      </c>
      <c r="O47" s="1">
        <v>-2435.3200000000002</v>
      </c>
      <c r="P47" s="1">
        <f t="shared" si="4"/>
        <v>-26007.4</v>
      </c>
    </row>
    <row r="48" spans="1:16" x14ac:dyDescent="0.25">
      <c r="B48" t="s">
        <v>22</v>
      </c>
      <c r="D48" s="1">
        <v>-1357.74</v>
      </c>
      <c r="E48" s="1">
        <v>-120.65</v>
      </c>
      <c r="G48" s="1">
        <v>-12.72</v>
      </c>
      <c r="K48" s="1">
        <v>-1209.55</v>
      </c>
      <c r="M48" s="1">
        <f>-1131.77-1167.54-1271.83</f>
        <v>-3571.14</v>
      </c>
      <c r="N48" s="1">
        <v>-114.75</v>
      </c>
      <c r="O48" s="1">
        <v>-2130.89</v>
      </c>
      <c r="P48" s="1">
        <f t="shared" si="4"/>
        <v>-8517.4399999999987</v>
      </c>
    </row>
    <row r="49" spans="1:16" x14ac:dyDescent="0.25">
      <c r="B49" t="s">
        <v>31</v>
      </c>
      <c r="F49" s="1">
        <f>-374.7-30-39</f>
        <v>-443.7</v>
      </c>
      <c r="G49" s="1">
        <f>15-125-125</f>
        <v>-235</v>
      </c>
      <c r="H49" s="1">
        <v>-282</v>
      </c>
      <c r="I49" s="1">
        <f>-300-343.24-125-6612.34-670-910-479.4</f>
        <v>-9439.98</v>
      </c>
      <c r="K49" s="1">
        <f>-275-660-133.6-24240.49-630-2210</f>
        <v>-28149.09</v>
      </c>
      <c r="L49" s="1">
        <f>-42.3-8759</f>
        <v>-8801.2999999999993</v>
      </c>
      <c r="M49" s="1">
        <v>-98.7</v>
      </c>
      <c r="N49" s="1">
        <f>-1284.6-366.6</f>
        <v>-1651.1999999999998</v>
      </c>
      <c r="O49" s="1">
        <f>-599.4-28.2</f>
        <v>-627.6</v>
      </c>
      <c r="P49" s="1">
        <f t="shared" si="4"/>
        <v>-49728.57</v>
      </c>
    </row>
    <row r="50" spans="1:16" x14ac:dyDescent="0.25">
      <c r="B50" t="s">
        <v>46</v>
      </c>
      <c r="P50" s="1">
        <f t="shared" si="4"/>
        <v>0</v>
      </c>
    </row>
    <row r="51" spans="1:16" x14ac:dyDescent="0.25">
      <c r="B51" t="s">
        <v>37</v>
      </c>
      <c r="P51" s="1">
        <f t="shared" si="4"/>
        <v>0</v>
      </c>
    </row>
    <row r="52" spans="1:16" x14ac:dyDescent="0.25">
      <c r="B52" t="s">
        <v>41</v>
      </c>
      <c r="P52" s="1">
        <f t="shared" si="4"/>
        <v>0</v>
      </c>
    </row>
    <row r="53" spans="1:16" x14ac:dyDescent="0.25">
      <c r="B53" t="s">
        <v>40</v>
      </c>
      <c r="P53" s="1">
        <f t="shared" si="4"/>
        <v>0</v>
      </c>
    </row>
    <row r="54" spans="1:16" x14ac:dyDescent="0.25">
      <c r="B54" t="s">
        <v>18</v>
      </c>
      <c r="P54" s="1">
        <f t="shared" si="4"/>
        <v>0</v>
      </c>
    </row>
    <row r="55" spans="1:16" ht="15.75" thickBot="1" x14ac:dyDescent="0.3">
      <c r="C55" s="5">
        <f t="shared" ref="C55:P55" si="5">SUM(C43:C54)</f>
        <v>66427.780000000319</v>
      </c>
      <c r="D55" s="5">
        <f t="shared" si="5"/>
        <v>-2553.619999999999</v>
      </c>
      <c r="E55" s="5">
        <f t="shared" si="5"/>
        <v>9925.44</v>
      </c>
      <c r="F55" s="5">
        <f t="shared" si="5"/>
        <v>6263.95</v>
      </c>
      <c r="G55" s="5">
        <f t="shared" si="5"/>
        <v>5328.19</v>
      </c>
      <c r="H55" s="5">
        <f t="shared" si="5"/>
        <v>10288.67</v>
      </c>
      <c r="I55" s="5">
        <f t="shared" si="5"/>
        <v>1130.6900000000005</v>
      </c>
      <c r="J55" s="5">
        <f t="shared" si="5"/>
        <v>8070.67</v>
      </c>
      <c r="K55" s="5">
        <f t="shared" si="5"/>
        <v>-22311.35</v>
      </c>
      <c r="L55" s="5">
        <f t="shared" si="5"/>
        <v>1769.3700000000008</v>
      </c>
      <c r="M55" s="5">
        <f t="shared" si="5"/>
        <v>6900.8300000000008</v>
      </c>
      <c r="N55" s="5">
        <f t="shared" si="5"/>
        <v>8697.75</v>
      </c>
      <c r="O55" s="5">
        <f t="shared" si="5"/>
        <v>4936.3600000000006</v>
      </c>
      <c r="P55" s="5">
        <f t="shared" si="5"/>
        <v>104874.73000000039</v>
      </c>
    </row>
    <row r="56" spans="1:16" ht="15.75" thickTop="1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8" spans="1:16" x14ac:dyDescent="0.25">
      <c r="A58" s="2">
        <v>2018</v>
      </c>
      <c r="B58" t="s">
        <v>13</v>
      </c>
      <c r="C58" s="4">
        <f>+P85</f>
        <v>45826.440000000301</v>
      </c>
      <c r="D58" s="1">
        <v>10570.67</v>
      </c>
      <c r="E58" s="1">
        <v>10570.67</v>
      </c>
      <c r="F58" s="1">
        <v>10570.67</v>
      </c>
      <c r="G58" s="1">
        <v>10570.67</v>
      </c>
      <c r="H58" s="1">
        <v>10570.67</v>
      </c>
      <c r="I58" s="1">
        <v>10570.67</v>
      </c>
      <c r="J58" s="1">
        <v>10570.67</v>
      </c>
      <c r="K58" s="1">
        <v>10570.67</v>
      </c>
      <c r="L58" s="1">
        <v>10570.67</v>
      </c>
      <c r="M58" s="1">
        <v>10570.67</v>
      </c>
      <c r="N58" s="1">
        <v>10570.67</v>
      </c>
      <c r="O58" s="1">
        <v>10570.67</v>
      </c>
      <c r="P58" s="1">
        <f>SUM(C58:O58)</f>
        <v>172674.48000000033</v>
      </c>
    </row>
    <row r="59" spans="1:16" x14ac:dyDescent="0.25">
      <c r="B59" t="s">
        <v>38</v>
      </c>
      <c r="P59" s="1">
        <f t="shared" ref="P59:P69" si="6">SUM(D59:O59)</f>
        <v>0</v>
      </c>
    </row>
    <row r="60" spans="1:16" x14ac:dyDescent="0.25">
      <c r="B60" t="s">
        <v>32</v>
      </c>
      <c r="G60" s="1">
        <v>-406.24</v>
      </c>
      <c r="K60" s="1">
        <v>-470.83</v>
      </c>
      <c r="P60" s="1">
        <f t="shared" si="6"/>
        <v>-877.06999999999994</v>
      </c>
    </row>
    <row r="61" spans="1:16" x14ac:dyDescent="0.25">
      <c r="B61" t="s">
        <v>39</v>
      </c>
      <c r="M61" s="1">
        <v>-529.94000000000005</v>
      </c>
      <c r="P61" s="1">
        <f t="shared" si="6"/>
        <v>-529.94000000000005</v>
      </c>
    </row>
    <row r="62" spans="1:16" x14ac:dyDescent="0.25">
      <c r="B62" t="s">
        <v>42</v>
      </c>
      <c r="F62" s="1">
        <v>-2943.26</v>
      </c>
      <c r="J62" s="1">
        <v>-3057.08</v>
      </c>
      <c r="P62" s="1">
        <f t="shared" si="6"/>
        <v>-6000.34</v>
      </c>
    </row>
    <row r="63" spans="1:16" x14ac:dyDescent="0.25">
      <c r="B63" t="s">
        <v>22</v>
      </c>
      <c r="D63" s="1">
        <f>-309.91-2795.36</f>
        <v>-3105.27</v>
      </c>
      <c r="E63" s="1">
        <v>-2377.44</v>
      </c>
      <c r="G63" s="1">
        <f>-2012.15-1480-677.32</f>
        <v>-4169.47</v>
      </c>
      <c r="H63" s="1">
        <f>-9202.97-52.38</f>
        <v>-9255.3499999999985</v>
      </c>
      <c r="I63" s="1">
        <f>-3607.09-90.49</f>
        <v>-3697.58</v>
      </c>
      <c r="J63" s="1">
        <f>-2290.97-948</f>
        <v>-3238.97</v>
      </c>
      <c r="K63" s="1">
        <v>-17782.169999999998</v>
      </c>
      <c r="L63" s="1">
        <f>-3454.54-197.19</f>
        <v>-3651.73</v>
      </c>
      <c r="M63" s="1">
        <f>-84-3883.47</f>
        <v>-3967.47</v>
      </c>
      <c r="N63" s="1">
        <f>-829.8-20107.23</f>
        <v>-20937.03</v>
      </c>
      <c r="P63" s="1">
        <f t="shared" si="6"/>
        <v>-72182.48000000001</v>
      </c>
    </row>
    <row r="64" spans="1:16" x14ac:dyDescent="0.25">
      <c r="B64" t="s">
        <v>31</v>
      </c>
      <c r="D64" s="1">
        <f>-300-300-198.8-544.76-445</f>
        <v>-1788.56</v>
      </c>
      <c r="E64" s="1">
        <f>-300-300-300-35-86.8</f>
        <v>-1021.8</v>
      </c>
      <c r="F64" s="1">
        <f>-14.2-300</f>
        <v>-314.2</v>
      </c>
      <c r="G64" s="1">
        <f>-300-550</f>
        <v>-850</v>
      </c>
      <c r="I64" s="1">
        <v>-2000</v>
      </c>
      <c r="J64" s="1">
        <f>-300-300-300</f>
        <v>-900</v>
      </c>
      <c r="K64" s="1">
        <f>-300-300</f>
        <v>-600</v>
      </c>
      <c r="L64" s="1">
        <f>-300-600-300-600-100-600-300-600-300-1525</f>
        <v>-5225</v>
      </c>
      <c r="M64" s="1">
        <f>-250-675-45</f>
        <v>-970</v>
      </c>
      <c r="N64" s="1">
        <f>-250-300-6578.54-2135-2658.21-744.51</f>
        <v>-12666.26</v>
      </c>
      <c r="O64" s="1">
        <f>1046-126.98-1520.01-250</f>
        <v>-850.99</v>
      </c>
      <c r="P64" s="1">
        <f t="shared" si="6"/>
        <v>-27186.81</v>
      </c>
    </row>
    <row r="65" spans="1:16" x14ac:dyDescent="0.25">
      <c r="B65" t="s">
        <v>46</v>
      </c>
      <c r="P65" s="1">
        <f t="shared" si="6"/>
        <v>0</v>
      </c>
    </row>
    <row r="66" spans="1:16" x14ac:dyDescent="0.25">
      <c r="B66" t="s">
        <v>37</v>
      </c>
      <c r="K66" s="1">
        <v>529.94000000000005</v>
      </c>
      <c r="P66" s="1">
        <f t="shared" si="6"/>
        <v>529.94000000000005</v>
      </c>
    </row>
    <row r="67" spans="1:16" x14ac:dyDescent="0.25">
      <c r="B67" t="s">
        <v>41</v>
      </c>
      <c r="P67" s="1">
        <f t="shared" si="6"/>
        <v>0</v>
      </c>
    </row>
    <row r="68" spans="1:16" x14ac:dyDescent="0.25">
      <c r="B68" t="s">
        <v>40</v>
      </c>
      <c r="P68" s="1">
        <f t="shared" si="6"/>
        <v>0</v>
      </c>
    </row>
    <row r="69" spans="1:16" x14ac:dyDescent="0.25">
      <c r="B69" t="s">
        <v>18</v>
      </c>
      <c r="P69" s="1">
        <f t="shared" si="6"/>
        <v>0</v>
      </c>
    </row>
    <row r="70" spans="1:16" ht="15.75" thickBot="1" x14ac:dyDescent="0.3">
      <c r="C70" s="5">
        <f t="shared" ref="C70:P70" si="7">SUM(C58:C69)</f>
        <v>45826.440000000301</v>
      </c>
      <c r="D70" s="5">
        <f t="shared" si="7"/>
        <v>5676.84</v>
      </c>
      <c r="E70" s="5">
        <f t="shared" si="7"/>
        <v>7171.4299999999994</v>
      </c>
      <c r="F70" s="5">
        <f t="shared" si="7"/>
        <v>7313.21</v>
      </c>
      <c r="G70" s="5">
        <f t="shared" si="7"/>
        <v>5144.96</v>
      </c>
      <c r="H70" s="5">
        <f t="shared" si="7"/>
        <v>1315.3200000000015</v>
      </c>
      <c r="I70" s="5">
        <f t="shared" si="7"/>
        <v>4873.09</v>
      </c>
      <c r="J70" s="5">
        <f t="shared" si="7"/>
        <v>3374.6200000000008</v>
      </c>
      <c r="K70" s="5">
        <f t="shared" si="7"/>
        <v>-7752.3899999999976</v>
      </c>
      <c r="L70" s="5">
        <f t="shared" si="7"/>
        <v>1693.9400000000005</v>
      </c>
      <c r="M70" s="5">
        <f t="shared" si="7"/>
        <v>5103.26</v>
      </c>
      <c r="N70" s="5">
        <f t="shared" si="7"/>
        <v>-23032.62</v>
      </c>
      <c r="O70" s="5">
        <f t="shared" si="7"/>
        <v>9719.68</v>
      </c>
      <c r="P70" s="5">
        <f t="shared" si="7"/>
        <v>66427.780000000319</v>
      </c>
    </row>
    <row r="71" spans="1:16" ht="15.75" thickTop="1" x14ac:dyDescent="0.25"/>
    <row r="73" spans="1:16" x14ac:dyDescent="0.25">
      <c r="A73" s="2">
        <v>2017</v>
      </c>
      <c r="B73" t="s">
        <v>13</v>
      </c>
      <c r="C73" s="4">
        <f>+P97</f>
        <v>4621.3300000003001</v>
      </c>
      <c r="D73" s="1">
        <v>10570.67</v>
      </c>
      <c r="E73" s="1">
        <v>10570.67</v>
      </c>
      <c r="F73" s="1">
        <v>10570.67</v>
      </c>
      <c r="G73" s="1">
        <v>10570.67</v>
      </c>
      <c r="H73" s="1">
        <v>10570.67</v>
      </c>
      <c r="I73" s="1">
        <v>10570.67</v>
      </c>
      <c r="J73" s="1">
        <v>10570.67</v>
      </c>
      <c r="K73" s="1">
        <v>10570.67</v>
      </c>
      <c r="L73" s="1">
        <v>10570.67</v>
      </c>
      <c r="M73" s="1">
        <v>10570.67</v>
      </c>
      <c r="N73" s="1">
        <v>10570.67</v>
      </c>
      <c r="O73" s="1">
        <v>10570.67</v>
      </c>
      <c r="P73" s="1">
        <f>SUM(C73:O73)</f>
        <v>131469.37000000029</v>
      </c>
    </row>
    <row r="74" spans="1:16" x14ac:dyDescent="0.25">
      <c r="B74" t="s">
        <v>38</v>
      </c>
      <c r="G74" s="1">
        <v>-2332.8200000000002</v>
      </c>
      <c r="P74" s="1">
        <f t="shared" ref="P74:P84" si="8">SUM(D74:O74)</f>
        <v>-2332.8200000000002</v>
      </c>
    </row>
    <row r="75" spans="1:16" x14ac:dyDescent="0.25">
      <c r="B75" t="s">
        <v>32</v>
      </c>
      <c r="L75" s="1">
        <v>-280.23</v>
      </c>
      <c r="P75" s="1">
        <f t="shared" si="8"/>
        <v>-280.23</v>
      </c>
    </row>
    <row r="76" spans="1:16" x14ac:dyDescent="0.25">
      <c r="B76" t="s">
        <v>39</v>
      </c>
      <c r="G76" s="1">
        <v>-747.72</v>
      </c>
      <c r="J76" s="1">
        <f>-2163.4-637.94</f>
        <v>-2801.34</v>
      </c>
      <c r="K76" s="1">
        <v>-346.13</v>
      </c>
      <c r="M76" s="1">
        <v>-1149.67</v>
      </c>
      <c r="P76" s="1">
        <f t="shared" si="8"/>
        <v>-5044.8600000000006</v>
      </c>
    </row>
    <row r="77" spans="1:16" x14ac:dyDescent="0.25">
      <c r="B77" t="s">
        <v>36</v>
      </c>
      <c r="E77" s="1">
        <v>-1953.93</v>
      </c>
      <c r="P77" s="1">
        <f t="shared" si="8"/>
        <v>-1953.93</v>
      </c>
    </row>
    <row r="78" spans="1:16" x14ac:dyDescent="0.25">
      <c r="B78" t="s">
        <v>22</v>
      </c>
      <c r="E78" s="1">
        <f>-220.78-1364.6</f>
        <v>-1585.3799999999999</v>
      </c>
      <c r="F78" s="1">
        <v>-7140.19</v>
      </c>
      <c r="G78" s="1">
        <v>-7367.41</v>
      </c>
      <c r="H78" s="1">
        <v>-5339.11</v>
      </c>
      <c r="I78" s="1">
        <v>-1356.77</v>
      </c>
      <c r="K78" s="1">
        <f>-5.66-133.19</f>
        <v>-138.85</v>
      </c>
      <c r="L78" s="1">
        <v>-1761.1</v>
      </c>
      <c r="M78" s="1">
        <v>-3375.35</v>
      </c>
      <c r="N78" s="1">
        <v>-1771.1</v>
      </c>
      <c r="O78" s="1">
        <v>-1170.2</v>
      </c>
      <c r="P78" s="1">
        <f t="shared" si="8"/>
        <v>-31005.459999999995</v>
      </c>
    </row>
    <row r="79" spans="1:16" x14ac:dyDescent="0.25">
      <c r="B79" t="s">
        <v>31</v>
      </c>
      <c r="E79" s="1">
        <f>-920-525</f>
        <v>-1445</v>
      </c>
      <c r="F79" s="1">
        <f>-350.1-275-2092-250-1685-80-950.6+1420-177.7</f>
        <v>-4440.4000000000005</v>
      </c>
      <c r="G79" s="1">
        <f>-910+510-1020-223.2-4594.57-127.8-80</f>
        <v>-6445.57</v>
      </c>
      <c r="H79" s="1">
        <f>-219.74-99.5-910-513.5</f>
        <v>-1742.74</v>
      </c>
      <c r="I79" s="1">
        <f>-186-490.2+129.75</f>
        <v>-546.45000000000005</v>
      </c>
      <c r="J79" s="1">
        <f>-2254.21-154.3</f>
        <v>-2408.5100000000002</v>
      </c>
      <c r="K79" s="1">
        <f>-297.6-1140.82</f>
        <v>-1438.42</v>
      </c>
      <c r="M79" s="1">
        <f>-275-275-149.2-275-37.2-348.82-550-221.2-98-103-910</f>
        <v>-3242.42</v>
      </c>
      <c r="N79" s="1">
        <f>-163.7-339.1-1965.51-208.3</f>
        <v>-2676.61</v>
      </c>
      <c r="O79" s="1">
        <f>-696.67-855-300-56.8-300-22087.38</f>
        <v>-24295.850000000002</v>
      </c>
      <c r="P79" s="1">
        <f t="shared" si="8"/>
        <v>-48681.97</v>
      </c>
    </row>
    <row r="80" spans="1:16" x14ac:dyDescent="0.25">
      <c r="B80" t="s">
        <v>46</v>
      </c>
      <c r="P80" s="1">
        <f t="shared" si="8"/>
        <v>0</v>
      </c>
    </row>
    <row r="81" spans="1:16" x14ac:dyDescent="0.25">
      <c r="B81" t="s">
        <v>37</v>
      </c>
      <c r="F81" s="1">
        <v>1953.93</v>
      </c>
      <c r="P81" s="1">
        <f t="shared" si="8"/>
        <v>1953.93</v>
      </c>
    </row>
    <row r="82" spans="1:16" x14ac:dyDescent="0.25">
      <c r="B82" t="s">
        <v>41</v>
      </c>
      <c r="K82" s="1">
        <v>1064.47</v>
      </c>
      <c r="P82" s="1">
        <f t="shared" si="8"/>
        <v>1064.47</v>
      </c>
    </row>
    <row r="83" spans="1:16" x14ac:dyDescent="0.25">
      <c r="B83" t="s">
        <v>40</v>
      </c>
      <c r="J83" s="1">
        <v>637.94000000000005</v>
      </c>
      <c r="P83" s="1">
        <f t="shared" si="8"/>
        <v>637.94000000000005</v>
      </c>
    </row>
    <row r="84" spans="1:16" x14ac:dyDescent="0.25">
      <c r="B84" t="s">
        <v>18</v>
      </c>
      <c r="P84" s="1">
        <f t="shared" si="8"/>
        <v>0</v>
      </c>
    </row>
    <row r="85" spans="1:16" ht="15.75" thickBot="1" x14ac:dyDescent="0.3">
      <c r="C85" s="5">
        <f t="shared" ref="C85:P85" si="9">SUM(C73:C84)</f>
        <v>4621.3300000003001</v>
      </c>
      <c r="D85" s="5">
        <f t="shared" si="9"/>
        <v>10570.67</v>
      </c>
      <c r="E85" s="5">
        <f t="shared" si="9"/>
        <v>5586.36</v>
      </c>
      <c r="F85" s="5">
        <f t="shared" si="9"/>
        <v>944.01</v>
      </c>
      <c r="G85" s="5">
        <f t="shared" si="9"/>
        <v>-6322.8499999999995</v>
      </c>
      <c r="H85" s="5">
        <f t="shared" si="9"/>
        <v>3488.8200000000006</v>
      </c>
      <c r="I85" s="5">
        <f t="shared" si="9"/>
        <v>8667.4499999999989</v>
      </c>
      <c r="J85" s="5">
        <f t="shared" si="9"/>
        <v>5998.76</v>
      </c>
      <c r="K85" s="5">
        <f t="shared" si="9"/>
        <v>9711.74</v>
      </c>
      <c r="L85" s="5">
        <f t="shared" si="9"/>
        <v>8529.34</v>
      </c>
      <c r="M85" s="5">
        <f t="shared" si="9"/>
        <v>2803.2299999999996</v>
      </c>
      <c r="N85" s="5">
        <f t="shared" si="9"/>
        <v>6122.9599999999991</v>
      </c>
      <c r="O85" s="5">
        <f t="shared" si="9"/>
        <v>-14895.380000000003</v>
      </c>
      <c r="P85" s="5">
        <f t="shared" si="9"/>
        <v>45826.440000000301</v>
      </c>
    </row>
    <row r="86" spans="1:16" ht="15.75" thickTop="1" x14ac:dyDescent="0.25"/>
    <row r="88" spans="1:16" x14ac:dyDescent="0.25">
      <c r="A88" s="2">
        <v>2016</v>
      </c>
      <c r="B88" t="s">
        <v>13</v>
      </c>
      <c r="C88" s="4">
        <f>+P109</f>
        <v>128734.72000000012</v>
      </c>
      <c r="D88" s="1">
        <v>10570.67</v>
      </c>
      <c r="E88" s="1">
        <v>10570.67</v>
      </c>
      <c r="F88" s="1">
        <v>10570.67</v>
      </c>
      <c r="G88" s="1">
        <v>10570.67</v>
      </c>
      <c r="H88" s="1">
        <v>10570.67</v>
      </c>
      <c r="I88" s="1">
        <v>10570.67</v>
      </c>
      <c r="J88" s="1">
        <v>10570.67</v>
      </c>
      <c r="K88" s="1">
        <v>10570.67</v>
      </c>
      <c r="L88" s="1">
        <v>10570.67</v>
      </c>
      <c r="M88" s="1">
        <v>10570.67</v>
      </c>
      <c r="N88" s="1">
        <v>10570.67</v>
      </c>
      <c r="O88" s="1">
        <v>10570.67</v>
      </c>
      <c r="P88" s="1">
        <f>SUM(C88:O88)</f>
        <v>255582.76000000027</v>
      </c>
    </row>
    <row r="89" spans="1:16" x14ac:dyDescent="0.25">
      <c r="A89" s="2"/>
      <c r="B89" t="s">
        <v>35</v>
      </c>
      <c r="L89" s="1">
        <v>-5.99</v>
      </c>
      <c r="P89" s="1">
        <f t="shared" ref="P89:P96" si="10">SUM(D89:O89)</f>
        <v>-5.99</v>
      </c>
    </row>
    <row r="90" spans="1:16" x14ac:dyDescent="0.25">
      <c r="A90" s="2"/>
      <c r="B90" t="s">
        <v>32</v>
      </c>
      <c r="G90" s="1">
        <v>-234.3</v>
      </c>
      <c r="K90" s="1">
        <f>-239.63-234.3</f>
        <v>-473.93</v>
      </c>
      <c r="N90" s="1">
        <v>-277.08</v>
      </c>
      <c r="P90" s="1">
        <f t="shared" si="10"/>
        <v>-985.31</v>
      </c>
    </row>
    <row r="91" spans="1:16" x14ac:dyDescent="0.25">
      <c r="A91" s="2"/>
      <c r="B91" t="s">
        <v>34</v>
      </c>
      <c r="H91" s="1">
        <v>-2500</v>
      </c>
      <c r="P91" s="1">
        <f t="shared" si="10"/>
        <v>-2500</v>
      </c>
    </row>
    <row r="92" spans="1:16" x14ac:dyDescent="0.25">
      <c r="A92" s="2"/>
      <c r="B92" t="s">
        <v>33</v>
      </c>
      <c r="H92" s="1">
        <v>-1256.93</v>
      </c>
      <c r="P92" s="1">
        <f t="shared" si="10"/>
        <v>-1256.93</v>
      </c>
    </row>
    <row r="93" spans="1:16" x14ac:dyDescent="0.25">
      <c r="A93" s="2"/>
      <c r="B93" t="s">
        <v>22</v>
      </c>
      <c r="E93" s="1">
        <f>-1713.84-2235.5-1054.7</f>
        <v>-5004.04</v>
      </c>
      <c r="F93" s="1">
        <f>-29.06-39.8-5122.17-60</f>
        <v>-5251.03</v>
      </c>
      <c r="G93" s="1">
        <f>-2532.05-675-60-229.01</f>
        <v>-3496.0600000000004</v>
      </c>
      <c r="H93" s="1">
        <v>-934.6</v>
      </c>
      <c r="I93" s="1">
        <f>-1736.92-157.5-6339.14-235.95</f>
        <v>-8469.510000000002</v>
      </c>
      <c r="J93" s="1">
        <f>-5327.4-16204.94-60.8</f>
        <v>-21593.14</v>
      </c>
      <c r="K93" s="1">
        <f>-7884.84-238.8-2651.03</f>
        <v>-10774.67</v>
      </c>
      <c r="L93" s="1">
        <f>-149.49-42982.78-23760.32-39.04-66577.51</f>
        <v>-133509.13999999998</v>
      </c>
      <c r="M93" s="1">
        <f>-199-8915.3</f>
        <v>-9114.2999999999993</v>
      </c>
      <c r="N93" s="1">
        <f>-61.34-14121.14</f>
        <v>-14182.48</v>
      </c>
      <c r="O93" s="1">
        <f>-99.5-7659.8</f>
        <v>-7759.3</v>
      </c>
      <c r="P93" s="1">
        <f>SUM(E93:O93)</f>
        <v>-220088.27</v>
      </c>
    </row>
    <row r="94" spans="1:16" x14ac:dyDescent="0.25">
      <c r="B94" t="s">
        <v>31</v>
      </c>
      <c r="E94" s="1">
        <f>-1543.74-741.86</f>
        <v>-2285.6</v>
      </c>
      <c r="G94" s="1">
        <f>-562.81-550</f>
        <v>-1112.81</v>
      </c>
      <c r="H94" s="1">
        <f>-6929.09-235</f>
        <v>-7164.09</v>
      </c>
      <c r="I94" s="1">
        <f>-235-111-2884.36-5566.43</f>
        <v>-8796.7900000000009</v>
      </c>
      <c r="K94" s="1">
        <v>-493.88</v>
      </c>
      <c r="O94" s="1">
        <f>-525-275-510-1420-237.29-275-2735-525-1026.4</f>
        <v>-7528.6900000000005</v>
      </c>
      <c r="P94" s="1">
        <f>SUM(E94:O94)</f>
        <v>-27381.86</v>
      </c>
    </row>
    <row r="95" spans="1:16" x14ac:dyDescent="0.25">
      <c r="B95" t="s">
        <v>46</v>
      </c>
      <c r="H95" s="1">
        <v>1131.8499999999999</v>
      </c>
      <c r="O95" s="1">
        <v>125.08</v>
      </c>
      <c r="P95" s="1">
        <f>SUM(E95:O95)</f>
        <v>1256.9299999999998</v>
      </c>
    </row>
    <row r="96" spans="1:16" x14ac:dyDescent="0.25">
      <c r="B96" t="s">
        <v>18</v>
      </c>
      <c r="P96" s="1">
        <f t="shared" si="10"/>
        <v>0</v>
      </c>
    </row>
    <row r="97" spans="1:16" ht="15.75" thickBot="1" x14ac:dyDescent="0.3">
      <c r="C97" s="5">
        <f>SUM(C88:C96)</f>
        <v>128734.72000000012</v>
      </c>
      <c r="D97" s="5">
        <f t="shared" ref="D97:P97" si="11">SUM(D88:D96)</f>
        <v>10570.67</v>
      </c>
      <c r="E97" s="5">
        <f t="shared" si="11"/>
        <v>3281.03</v>
      </c>
      <c r="F97" s="5">
        <f t="shared" si="11"/>
        <v>5319.64</v>
      </c>
      <c r="G97" s="5">
        <f t="shared" si="11"/>
        <v>5727.5</v>
      </c>
      <c r="H97" s="5">
        <f t="shared" si="11"/>
        <v>-153.10000000000082</v>
      </c>
      <c r="I97" s="5">
        <f t="shared" si="11"/>
        <v>-6695.6300000000028</v>
      </c>
      <c r="J97" s="5">
        <f t="shared" si="11"/>
        <v>-11022.47</v>
      </c>
      <c r="K97" s="5">
        <f t="shared" si="11"/>
        <v>-1171.8100000000004</v>
      </c>
      <c r="L97" s="5">
        <f t="shared" si="11"/>
        <v>-122944.45999999999</v>
      </c>
      <c r="M97" s="5">
        <f t="shared" si="11"/>
        <v>1456.3700000000008</v>
      </c>
      <c r="N97" s="5">
        <f t="shared" si="11"/>
        <v>-3888.8899999999994</v>
      </c>
      <c r="O97" s="5">
        <f t="shared" si="11"/>
        <v>-4592.2400000000007</v>
      </c>
      <c r="P97" s="5">
        <f t="shared" si="11"/>
        <v>4621.3300000003001</v>
      </c>
    </row>
    <row r="98" spans="1:16" ht="15.75" thickTop="1" x14ac:dyDescent="0.25"/>
    <row r="102" spans="1:16" x14ac:dyDescent="0.25">
      <c r="A102" s="2">
        <v>2015</v>
      </c>
      <c r="B102" t="s">
        <v>13</v>
      </c>
      <c r="C102" s="4">
        <f>+P118</f>
        <v>114796.9</v>
      </c>
      <c r="D102" s="1">
        <v>10570.67</v>
      </c>
      <c r="E102" s="1">
        <v>10570.67</v>
      </c>
      <c r="F102" s="1">
        <v>10570.67</v>
      </c>
      <c r="G102" s="1">
        <v>10570.67</v>
      </c>
      <c r="H102" s="1">
        <v>10570.67</v>
      </c>
      <c r="I102" s="1">
        <v>10570.67</v>
      </c>
      <c r="J102" s="1">
        <v>10570.67</v>
      </c>
      <c r="K102" s="1">
        <v>10570.67</v>
      </c>
      <c r="L102" s="1">
        <v>10570.67</v>
      </c>
      <c r="M102" s="1">
        <v>10570.67</v>
      </c>
      <c r="N102" s="1">
        <v>10570.67</v>
      </c>
      <c r="O102" s="1">
        <v>10570.67</v>
      </c>
      <c r="P102" s="1">
        <f>SUM(C102:O102)</f>
        <v>241644.94000000012</v>
      </c>
    </row>
    <row r="103" spans="1:16" x14ac:dyDescent="0.25">
      <c r="B103" t="s">
        <v>30</v>
      </c>
      <c r="O103" s="1">
        <v>-304.99</v>
      </c>
      <c r="P103" s="1">
        <f t="shared" ref="P103:P108" si="12">SUM(D103:O103)</f>
        <v>-304.99</v>
      </c>
    </row>
    <row r="104" spans="1:16" x14ac:dyDescent="0.25">
      <c r="B104" t="s">
        <v>29</v>
      </c>
      <c r="O104" s="1">
        <v>-135.57</v>
      </c>
      <c r="P104" s="1">
        <f t="shared" si="12"/>
        <v>-135.57</v>
      </c>
    </row>
    <row r="105" spans="1:16" x14ac:dyDescent="0.25">
      <c r="B105" t="s">
        <v>28</v>
      </c>
      <c r="J105" s="1">
        <v>38.5</v>
      </c>
      <c r="P105" s="1">
        <f t="shared" si="12"/>
        <v>38.5</v>
      </c>
    </row>
    <row r="106" spans="1:16" x14ac:dyDescent="0.25">
      <c r="B106" t="s">
        <v>22</v>
      </c>
      <c r="E106" s="1">
        <f>-11920.25-2246.45-119.4</f>
        <v>-14286.1</v>
      </c>
      <c r="G106" s="1">
        <f>-5913.75-4169.9-2025.05-866.2-217.49-1113.91-187.62</f>
        <v>-14493.92</v>
      </c>
      <c r="H106" s="1">
        <f>-100.65-59.7-703.37-4770.99</f>
        <v>-5634.71</v>
      </c>
      <c r="I106" s="1">
        <f>-155.3-1566.74-238.8-470</f>
        <v>-2430.84</v>
      </c>
      <c r="J106" s="1">
        <f>-3538.77-1036.34-9262.01-1008.51</f>
        <v>-14845.63</v>
      </c>
      <c r="K106" s="1">
        <f>-840.33-12000-93.34-1091.64-9651.83</f>
        <v>-23677.14</v>
      </c>
      <c r="M106" s="1">
        <f>-19.95-609.7-3.1-68.3-391.73</f>
        <v>-1092.7800000000002</v>
      </c>
      <c r="N106" s="1">
        <f>-109.78-2272.7-1478.95-2221.53</f>
        <v>-6082.9600000000009</v>
      </c>
      <c r="O106" s="1">
        <f>-362.31-7697.57-1505.25-211.44-689.3-9811.42-9665.6-21.19</f>
        <v>-29964.079999999998</v>
      </c>
      <c r="P106" s="1">
        <f t="shared" si="12"/>
        <v>-112508.16</v>
      </c>
    </row>
    <row r="107" spans="1:16" x14ac:dyDescent="0.25">
      <c r="B107" t="s">
        <v>31</v>
      </c>
      <c r="P107" s="1">
        <f t="shared" si="12"/>
        <v>0</v>
      </c>
    </row>
    <row r="108" spans="1:16" x14ac:dyDescent="0.25">
      <c r="B108" t="s">
        <v>18</v>
      </c>
      <c r="P108" s="1">
        <f t="shared" si="12"/>
        <v>0</v>
      </c>
    </row>
    <row r="109" spans="1:16" ht="15.75" thickBot="1" x14ac:dyDescent="0.3">
      <c r="C109" s="5">
        <f>SUM(C102:C108)</f>
        <v>114796.9</v>
      </c>
      <c r="D109" s="5">
        <f t="shared" ref="D109:P109" si="13">SUM(D102:D108)</f>
        <v>10570.67</v>
      </c>
      <c r="E109" s="5">
        <f t="shared" si="13"/>
        <v>-3715.4300000000003</v>
      </c>
      <c r="F109" s="5">
        <f t="shared" si="13"/>
        <v>10570.67</v>
      </c>
      <c r="G109" s="5">
        <f t="shared" si="13"/>
        <v>-3923.25</v>
      </c>
      <c r="H109" s="5">
        <f t="shared" si="13"/>
        <v>4935.96</v>
      </c>
      <c r="I109" s="5">
        <f t="shared" si="13"/>
        <v>8139.83</v>
      </c>
      <c r="J109" s="5">
        <f t="shared" si="13"/>
        <v>-4236.4599999999991</v>
      </c>
      <c r="K109" s="5">
        <f t="shared" si="13"/>
        <v>-13106.47</v>
      </c>
      <c r="L109" s="5">
        <f t="shared" si="13"/>
        <v>10570.67</v>
      </c>
      <c r="M109" s="5">
        <f t="shared" si="13"/>
        <v>9477.89</v>
      </c>
      <c r="N109" s="5">
        <f t="shared" si="13"/>
        <v>4487.7099999999991</v>
      </c>
      <c r="O109" s="5">
        <f t="shared" si="13"/>
        <v>-19833.969999999998</v>
      </c>
      <c r="P109" s="5">
        <f t="shared" si="13"/>
        <v>128734.72000000012</v>
      </c>
    </row>
    <row r="110" spans="1:16" ht="15.75" thickTop="1" x14ac:dyDescent="0.25"/>
    <row r="111" spans="1:16" x14ac:dyDescent="0.25">
      <c r="A111" s="2">
        <v>2014</v>
      </c>
      <c r="B111" t="s">
        <v>13</v>
      </c>
      <c r="C111" s="4">
        <v>0</v>
      </c>
      <c r="P111" s="1">
        <f>SUM(C111:O111)</f>
        <v>0</v>
      </c>
    </row>
    <row r="112" spans="1:16" x14ac:dyDescent="0.25">
      <c r="B112" t="s">
        <v>17</v>
      </c>
      <c r="P112" s="1">
        <f t="shared" ref="P112:P117" si="14">SUM(D112:O112)</f>
        <v>0</v>
      </c>
    </row>
    <row r="113" spans="2:16" x14ac:dyDescent="0.25">
      <c r="B113" t="s">
        <v>16</v>
      </c>
      <c r="P113" s="1">
        <f t="shared" si="14"/>
        <v>0</v>
      </c>
    </row>
    <row r="114" spans="2:16" x14ac:dyDescent="0.25">
      <c r="B114" t="s">
        <v>21</v>
      </c>
      <c r="P114" s="1">
        <f t="shared" si="14"/>
        <v>0</v>
      </c>
    </row>
    <row r="115" spans="2:16" x14ac:dyDescent="0.25">
      <c r="B115" t="s">
        <v>22</v>
      </c>
      <c r="P115" s="1">
        <f t="shared" si="14"/>
        <v>0</v>
      </c>
    </row>
    <row r="116" spans="2:16" x14ac:dyDescent="0.25">
      <c r="B116" t="s">
        <v>31</v>
      </c>
      <c r="P116" s="1">
        <f t="shared" si="14"/>
        <v>0</v>
      </c>
    </row>
    <row r="117" spans="2:16" x14ac:dyDescent="0.25">
      <c r="B117" t="s">
        <v>18</v>
      </c>
      <c r="O117" s="1">
        <v>114796.9</v>
      </c>
      <c r="P117" s="1">
        <f t="shared" si="14"/>
        <v>114796.9</v>
      </c>
    </row>
    <row r="118" spans="2:16" ht="15.75" thickBot="1" x14ac:dyDescent="0.3">
      <c r="C118" s="5">
        <f>SUM(C111:C117)</f>
        <v>0</v>
      </c>
      <c r="D118" s="5">
        <f t="shared" ref="D118:P118" si="15">SUM(D111:D117)</f>
        <v>0</v>
      </c>
      <c r="E118" s="5">
        <f t="shared" si="15"/>
        <v>0</v>
      </c>
      <c r="F118" s="5">
        <f t="shared" si="15"/>
        <v>0</v>
      </c>
      <c r="G118" s="5">
        <f t="shared" si="15"/>
        <v>0</v>
      </c>
      <c r="H118" s="5">
        <f t="shared" si="15"/>
        <v>0</v>
      </c>
      <c r="I118" s="5">
        <f t="shared" si="15"/>
        <v>0</v>
      </c>
      <c r="J118" s="5">
        <f t="shared" si="15"/>
        <v>0</v>
      </c>
      <c r="K118" s="5">
        <f t="shared" si="15"/>
        <v>0</v>
      </c>
      <c r="L118" s="5">
        <f t="shared" si="15"/>
        <v>0</v>
      </c>
      <c r="M118" s="5">
        <f t="shared" si="15"/>
        <v>0</v>
      </c>
      <c r="N118" s="5">
        <f t="shared" si="15"/>
        <v>0</v>
      </c>
      <c r="O118" s="5">
        <f t="shared" si="15"/>
        <v>114796.9</v>
      </c>
      <c r="P118" s="5">
        <f t="shared" si="15"/>
        <v>114796.9</v>
      </c>
    </row>
    <row r="119" spans="2:16" ht="15.75" thickTop="1" x14ac:dyDescent="0.25"/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 A C T I V E ! 1 5 6 7 6 8 6 3 . 1 < / d o c u m e n t i d >  
     < s e n d e r i d > K E A B E T < / s e n d e r i d >  
     < s e n d e r e m a i l > B K E A T I N G @ G U N S T E R . C O M < / s e n d e r e m a i l >  
     < l a s t m o d i f i e d > 2 0 2 2 - 0 3 - 0 9 T 1 5 : 0 4 : 5 9 . 0 0 0 0 0 0 0 - 0 5 : 0 0 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 Level</vt:lpstr>
      <vt:lpstr>Summary</vt:lpstr>
      <vt:lpstr>CFG Liability</vt:lpstr>
      <vt:lpstr>CFG Asset</vt:lpstr>
      <vt:lpstr>FN Liability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Steinmetz, Joe</dc:creator>
  <cp:lastModifiedBy>Baugh, Jowi</cp:lastModifiedBy>
  <dcterms:created xsi:type="dcterms:W3CDTF">2021-11-04T18:11:51Z</dcterms:created>
  <dcterms:modified xsi:type="dcterms:W3CDTF">2022-03-09T20:04:59Z</dcterms:modified>
</cp:coreProperties>
</file>