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lake\OneDrive - Chesapeake Utilities Corporation\Desktop\"/>
    </mc:Choice>
  </mc:AlternateContent>
  <bookViews>
    <workbookView xWindow="0" yWindow="0" windowWidth="19560" windowHeight="9096"/>
  </bookViews>
  <sheets>
    <sheet name="Customer Growth" sheetId="1" r:id="rId1"/>
    <sheet name="Cust_2011" sheetId="10" r:id="rId2"/>
    <sheet name="Cust_2012" sheetId="3" r:id="rId3"/>
    <sheet name="Cust_2013" sheetId="9" r:id="rId4"/>
    <sheet name="Cust_2014" sheetId="7" r:id="rId5"/>
    <sheet name="Cust_2015" sheetId="8" r:id="rId6"/>
    <sheet name="Cust_2016" sheetId="6" r:id="rId7"/>
    <sheet name="Cust_2017" sheetId="4" r:id="rId8"/>
    <sheet name="Cust_2018" sheetId="11" r:id="rId9"/>
    <sheet name="Cust_2019" sheetId="12" r:id="rId10"/>
    <sheet name="Cust_2020" sheetId="13" r:id="rId11"/>
    <sheet name="Cust_2021" sheetId="5" r:id="rId12"/>
    <sheet name="Gas Consumption Comparison" sheetId="2" r:id="rId13"/>
    <sheet name="Contents" sheetId="14" r:id="rId14"/>
    <sheet name="EIA NG Consumption Data" sheetId="15" r:id="rId15"/>
    <sheet name="Vol_2011" sheetId="26" r:id="rId16"/>
    <sheet name="Vol_2012" sheetId="25" r:id="rId17"/>
    <sheet name="Vol_2013" sheetId="27" r:id="rId18"/>
    <sheet name="Vol_2014" sheetId="23" r:id="rId19"/>
    <sheet name="Vol_2015" sheetId="22" r:id="rId20"/>
    <sheet name="Vol_2016" sheetId="21" r:id="rId21"/>
    <sheet name="Vol_2017" sheetId="20" r:id="rId22"/>
    <sheet name="Vol_2018" sheetId="16" r:id="rId23"/>
    <sheet name="Vol_2019" sheetId="17" r:id="rId24"/>
    <sheet name="Vol_2020" sheetId="18" r:id="rId25"/>
    <sheet name="Vol_2021" sheetId="19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P" localSheetId="9">#REF!</definedName>
    <definedName name="\P" localSheetId="10">#REF!</definedName>
    <definedName name="\P" localSheetId="23">#REF!</definedName>
    <definedName name="\P" localSheetId="24">#REF!</definedName>
    <definedName name="\P" localSheetId="25">#REF!</definedName>
    <definedName name="\P">#REF!</definedName>
    <definedName name="__FDS_HYPERLINK_TOGGLE_STATE__" hidden="1">"ON"</definedName>
    <definedName name="__yr1" localSheetId="9">#REF!</definedName>
    <definedName name="__yr1" localSheetId="10">#REF!</definedName>
    <definedName name="__yr1" localSheetId="23">#REF!</definedName>
    <definedName name="__yr1" localSheetId="24">#REF!</definedName>
    <definedName name="__yr1" localSheetId="25">#REF!</definedName>
    <definedName name="__yr1">#REF!</definedName>
    <definedName name="__yr2" localSheetId="9">#REF!</definedName>
    <definedName name="__yr2" localSheetId="10">#REF!</definedName>
    <definedName name="__yr2" localSheetId="23">#REF!</definedName>
    <definedName name="__yr2" localSheetId="24">#REF!</definedName>
    <definedName name="__yr2" localSheetId="25">#REF!</definedName>
    <definedName name="__yr2">#REF!</definedName>
    <definedName name="__YR2006" localSheetId="9">#REF!</definedName>
    <definedName name="__YR2006" localSheetId="10">#REF!</definedName>
    <definedName name="__YR2006" localSheetId="23">#REF!</definedName>
    <definedName name="__YR2006" localSheetId="24">#REF!</definedName>
    <definedName name="__YR2006" localSheetId="25">#REF!</definedName>
    <definedName name="__YR2006">#REF!</definedName>
    <definedName name="__YR2007" localSheetId="9">#REF!</definedName>
    <definedName name="__YR2007" localSheetId="10">#REF!</definedName>
    <definedName name="__YR2007" localSheetId="23">#REF!</definedName>
    <definedName name="__YR2007" localSheetId="24">#REF!</definedName>
    <definedName name="__YR2007" localSheetId="25">#REF!</definedName>
    <definedName name="__YR2007">#REF!</definedName>
    <definedName name="__yr3" localSheetId="9">#REF!</definedName>
    <definedName name="__yr3" localSheetId="10">#REF!</definedName>
    <definedName name="__yr3" localSheetId="23">#REF!</definedName>
    <definedName name="__yr3" localSheetId="24">#REF!</definedName>
    <definedName name="__yr3" localSheetId="25">#REF!</definedName>
    <definedName name="__yr3">#REF!</definedName>
    <definedName name="_1997_EPS">[1]Inputs!$B$13</definedName>
    <definedName name="_1998_EPS">[1]Inputs!$B$15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9" hidden="1">[2]FxdChg!#REF!</definedName>
    <definedName name="_Fill" localSheetId="10" hidden="1">[2]FxdChg!#REF!</definedName>
    <definedName name="_Fill" localSheetId="23" hidden="1">[2]FxdChg!#REF!</definedName>
    <definedName name="_Fill" localSheetId="24" hidden="1">[2]FxdChg!#REF!</definedName>
    <definedName name="_Fill" localSheetId="25" hidden="1">[2]FxdChg!#REF!</definedName>
    <definedName name="_Fill" hidden="1">[2]FxdChg!#REF!</definedName>
    <definedName name="_Key1" localSheetId="9" hidden="1">#REF!</definedName>
    <definedName name="_Key1" localSheetId="10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hidden="1">#REF!</definedName>
    <definedName name="_Order1" hidden="1">0</definedName>
    <definedName name="_Order2" hidden="1">255</definedName>
    <definedName name="_Sort" localSheetId="9" hidden="1">#REF!</definedName>
    <definedName name="_Sort" localSheetId="10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hidden="1">#REF!</definedName>
    <definedName name="_Syn1">[3]Input!$H$191</definedName>
    <definedName name="_Syn2">[3]Input!$I$191</definedName>
    <definedName name="_syn3">[3]Input!$K$191</definedName>
    <definedName name="_yr1" localSheetId="9">#REF!</definedName>
    <definedName name="_yr1" localSheetId="10">#REF!</definedName>
    <definedName name="_yr1" localSheetId="23">#REF!</definedName>
    <definedName name="_yr1" localSheetId="24">#REF!</definedName>
    <definedName name="_yr1" localSheetId="25">#REF!</definedName>
    <definedName name="_yr1">#REF!</definedName>
    <definedName name="_yr2" localSheetId="9">#REF!</definedName>
    <definedName name="_yr2" localSheetId="10">#REF!</definedName>
    <definedName name="_yr2" localSheetId="23">#REF!</definedName>
    <definedName name="_yr2" localSheetId="24">#REF!</definedName>
    <definedName name="_yr2" localSheetId="25">#REF!</definedName>
    <definedName name="_yr2">#REF!</definedName>
    <definedName name="_YR2006" localSheetId="9">#REF!</definedName>
    <definedName name="_YR2006" localSheetId="10">#REF!</definedName>
    <definedName name="_YR2006" localSheetId="23">#REF!</definedName>
    <definedName name="_YR2006" localSheetId="24">#REF!</definedName>
    <definedName name="_YR2006" localSheetId="25">#REF!</definedName>
    <definedName name="_YR2006">#REF!</definedName>
    <definedName name="_YR2007" localSheetId="9">#REF!</definedName>
    <definedName name="_YR2007" localSheetId="10">#REF!</definedName>
    <definedName name="_YR2007" localSheetId="23">#REF!</definedName>
    <definedName name="_YR2007" localSheetId="24">#REF!</definedName>
    <definedName name="_YR2007" localSheetId="25">#REF!</definedName>
    <definedName name="_YR2007">#REF!</definedName>
    <definedName name="_yr3" localSheetId="9">#REF!</definedName>
    <definedName name="_yr3" localSheetId="10">#REF!</definedName>
    <definedName name="_yr3" localSheetId="23">#REF!</definedName>
    <definedName name="_yr3" localSheetId="24">#REF!</definedName>
    <definedName name="_yr3" localSheetId="25">#REF!</definedName>
    <definedName name="_yr3">#REF!</definedName>
    <definedName name="_zP2" localSheetId="9">#REF!,#REF!,#REF!</definedName>
    <definedName name="_zP2" localSheetId="10">#REF!,#REF!,#REF!</definedName>
    <definedName name="_zP2" localSheetId="23">#REF!,#REF!,#REF!</definedName>
    <definedName name="_zP2" localSheetId="24">#REF!,#REF!,#REF!</definedName>
    <definedName name="_zP2" localSheetId="25">#REF!,#REF!,#REF!</definedName>
    <definedName name="_zP2">#REF!,#REF!,#REF!</definedName>
    <definedName name="a">'[4]1999 Options'!$A$1:$E$103</definedName>
    <definedName name="Accmeth">[3]Input!$R$9</definedName>
    <definedName name="AcqDebt">[3]Input!$S$54</definedName>
    <definedName name="AcqEBITDA">[3]Input!$S$47</definedName>
    <definedName name="AcqEPS1">[3]Input!$S$68</definedName>
    <definedName name="AcqEPS2">[3]Input!$S$69</definedName>
    <definedName name="AcqEPS3">[3]Input!$S$70</definedName>
    <definedName name="AcqNA">[3]Input!$S$50</definedName>
    <definedName name="AcqStockPrice" localSheetId="9">#REF!</definedName>
    <definedName name="AcqStockPrice" localSheetId="10">#REF!</definedName>
    <definedName name="AcqStockPrice" localSheetId="23">#REF!</definedName>
    <definedName name="AcqStockPrice" localSheetId="24">#REF!</definedName>
    <definedName name="AcqStockPrice" localSheetId="25">#REF!</definedName>
    <definedName name="AcqStockPrice">#REF!</definedName>
    <definedName name="ACQUIROR_NAME" localSheetId="9">[5]Acquiror!#REF!</definedName>
    <definedName name="ACQUIROR_NAME" localSheetId="10">[5]Acquiror!#REF!</definedName>
    <definedName name="ACQUIROR_NAME" localSheetId="23">[5]Acquiror!#REF!</definedName>
    <definedName name="ACQUIROR_NAME" localSheetId="24">[5]Acquiror!#REF!</definedName>
    <definedName name="ACQUIROR_NAME" localSheetId="25">[5]Acquiror!#REF!</definedName>
    <definedName name="ACQUIROR_NAME">[5]Acquiror!#REF!</definedName>
    <definedName name="ACT_METHOD" localSheetId="9">'[6]Trans Assump'!#REF!</definedName>
    <definedName name="ACT_METHOD" localSheetId="10">'[6]Trans Assump'!#REF!</definedName>
    <definedName name="ACT_METHOD" localSheetId="23">'[6]Trans Assump'!#REF!</definedName>
    <definedName name="ACT_METHOD" localSheetId="24">'[6]Trans Assump'!#REF!</definedName>
    <definedName name="ACT_METHOD" localSheetId="25">'[6]Trans Assump'!#REF!</definedName>
    <definedName name="ACT_METHOD">'[6]Trans Assump'!#REF!</definedName>
    <definedName name="AllTables" localSheetId="9">{2}</definedName>
    <definedName name="AllTables" localSheetId="10">{2}</definedName>
    <definedName name="AllTables" localSheetId="23">{2}</definedName>
    <definedName name="AllTables" localSheetId="24">{2}</definedName>
    <definedName name="AllTables" localSheetId="25">{2}</definedName>
    <definedName name="AllTables">{2}</definedName>
    <definedName name="alt_boxsize" localSheetId="9">#REF!</definedName>
    <definedName name="alt_boxsize" localSheetId="10">#REF!</definedName>
    <definedName name="alt_boxsize" localSheetId="23">#REF!</definedName>
    <definedName name="alt_boxsize" localSheetId="24">#REF!</definedName>
    <definedName name="alt_boxsize" localSheetId="25">#REF!</definedName>
    <definedName name="alt_boxsize">#REF!</definedName>
    <definedName name="Amort" localSheetId="9">[7]MODEL!#REF!</definedName>
    <definedName name="Amort" localSheetId="10">[7]MODEL!#REF!</definedName>
    <definedName name="Amort" localSheetId="23">[7]MODEL!#REF!</definedName>
    <definedName name="Amort" localSheetId="24">[7]MODEL!#REF!</definedName>
    <definedName name="Amort" localSheetId="25">[7]MODEL!#REF!</definedName>
    <definedName name="Amort">[7]MODEL!#REF!</definedName>
    <definedName name="aopyr1" localSheetId="9">#REF!</definedName>
    <definedName name="aopyr1" localSheetId="10">#REF!</definedName>
    <definedName name="aopyr1" localSheetId="23">#REF!</definedName>
    <definedName name="aopyr1" localSheetId="24">#REF!</definedName>
    <definedName name="aopyr1" localSheetId="25">#REF!</definedName>
    <definedName name="aopyr1">#REF!</definedName>
    <definedName name="aopyr2" localSheetId="9">#REF!</definedName>
    <definedName name="aopyr2" localSheetId="10">#REF!</definedName>
    <definedName name="aopyr2" localSheetId="23">#REF!</definedName>
    <definedName name="aopyr2" localSheetId="24">#REF!</definedName>
    <definedName name="aopyr2" localSheetId="25">#REF!</definedName>
    <definedName name="aopyr2">#REF!</definedName>
    <definedName name="aopyr3" localSheetId="9">#REF!</definedName>
    <definedName name="aopyr3" localSheetId="10">#REF!</definedName>
    <definedName name="aopyr3" localSheetId="23">#REF!</definedName>
    <definedName name="aopyr3" localSheetId="24">#REF!</definedName>
    <definedName name="aopyr3" localSheetId="25">#REF!</definedName>
    <definedName name="aopyr3">#REF!</definedName>
    <definedName name="Asset_Beta" localSheetId="9">'[8]B&amp;W WACC'!#REF!</definedName>
    <definedName name="Asset_Beta" localSheetId="10">'[8]B&amp;W WACC'!#REF!</definedName>
    <definedName name="Asset_Beta" localSheetId="23">'[8]B&amp;W WACC'!#REF!</definedName>
    <definedName name="Asset_Beta" localSheetId="24">'[8]B&amp;W WACC'!#REF!</definedName>
    <definedName name="Asset_Beta" localSheetId="25">'[8]B&amp;W WACC'!#REF!</definedName>
    <definedName name="Asset_Beta">'[8]B&amp;W WACC'!#REF!</definedName>
    <definedName name="Average_Exercise_Price">[1]Inputs!$E$10</definedName>
    <definedName name="Base_Scenario" localSheetId="9">[9]Initiatives!#REF!</definedName>
    <definedName name="Base_Scenario" localSheetId="10">[9]Initiatives!#REF!</definedName>
    <definedName name="Base_Scenario" localSheetId="23">[9]Initiatives!#REF!</definedName>
    <definedName name="Base_Scenario" localSheetId="24">[9]Initiatives!#REF!</definedName>
    <definedName name="Base_Scenario" localSheetId="25">[9]Initiatives!#REF!</definedName>
    <definedName name="Base_Scenario">[9]Initiatives!#REF!</definedName>
    <definedName name="basis" localSheetId="9">#REF!</definedName>
    <definedName name="basis" localSheetId="10">#REF!</definedName>
    <definedName name="basis" localSheetId="23">#REF!</definedName>
    <definedName name="basis" localSheetId="24">#REF!</definedName>
    <definedName name="basis" localSheetId="25">#REF!</definedName>
    <definedName name="basis">#REF!</definedName>
    <definedName name="bb">[10]Main!$H$8:$S$56,[10]Main!$H$16:$S$132</definedName>
    <definedName name="beta_observed" localSheetId="9">#REF!</definedName>
    <definedName name="beta_observed" localSheetId="10">#REF!</definedName>
    <definedName name="beta_observed" localSheetId="23">#REF!</definedName>
    <definedName name="beta_observed" localSheetId="24">#REF!</definedName>
    <definedName name="beta_observed" localSheetId="25">#REF!</definedName>
    <definedName name="beta_observed">#REF!</definedName>
    <definedName name="beta_observed_unlevered" localSheetId="9">#REF!</definedName>
    <definedName name="beta_observed_unlevered" localSheetId="10">#REF!</definedName>
    <definedName name="beta_observed_unlevered" localSheetId="23">#REF!</definedName>
    <definedName name="beta_observed_unlevered" localSheetId="24">#REF!</definedName>
    <definedName name="beta_observed_unlevered" localSheetId="25">#REF!</definedName>
    <definedName name="beta_observed_unlevered">#REF!</definedName>
    <definedName name="beta_unlev_comps" localSheetId="9">#REF!</definedName>
    <definedName name="beta_unlev_comps" localSheetId="10">#REF!</definedName>
    <definedName name="beta_unlev_comps" localSheetId="23">#REF!</definedName>
    <definedName name="beta_unlev_comps" localSheetId="24">#REF!</definedName>
    <definedName name="beta_unlev_comps" localSheetId="25">#REF!</definedName>
    <definedName name="beta_unlev_comps">#REF!</definedName>
    <definedName name="BKGSUM" localSheetId="9">#REF!</definedName>
    <definedName name="BKGSUM" localSheetId="10">#REF!</definedName>
    <definedName name="BKGSUM" localSheetId="23">#REF!</definedName>
    <definedName name="BKGSUM" localSheetId="24">#REF!</definedName>
    <definedName name="BKGSUM" localSheetId="25">#REF!</definedName>
    <definedName name="BKGSUM">#REF!</definedName>
    <definedName name="BKGSUMOTH" localSheetId="9">#REF!</definedName>
    <definedName name="BKGSUMOTH" localSheetId="10">#REF!</definedName>
    <definedName name="BKGSUMOTH" localSheetId="23">#REF!</definedName>
    <definedName name="BKGSUMOTH" localSheetId="24">#REF!</definedName>
    <definedName name="BKGSUMOTH" localSheetId="25">#REF!</definedName>
    <definedName name="BKGSUMOTH">#REF!</definedName>
    <definedName name="BKGSUMPROJ" localSheetId="9">#REF!</definedName>
    <definedName name="BKGSUMPROJ" localSheetId="10">#REF!</definedName>
    <definedName name="BKGSUMPROJ" localSheetId="23">#REF!</definedName>
    <definedName name="BKGSUMPROJ" localSheetId="24">#REF!</definedName>
    <definedName name="BKGSUMPROJ" localSheetId="25">#REF!</definedName>
    <definedName name="BKGSUMPROJ">#REF!</definedName>
    <definedName name="BlakeVal" localSheetId="9">#REF!</definedName>
    <definedName name="BlakeVal" localSheetId="10">#REF!</definedName>
    <definedName name="BlakeVal" localSheetId="23">#REF!</definedName>
    <definedName name="BlakeVal" localSheetId="24">#REF!</definedName>
    <definedName name="BlakeVal" localSheetId="25">#REF!</definedName>
    <definedName name="BlakeVal">#REF!</definedName>
    <definedName name="BOOKINGS">'[11]CY10-2 Bookings'!$Q$25+'[11]CY10-2 Bookings'!$U$25</definedName>
    <definedName name="brdg" localSheetId="9">#REF!</definedName>
    <definedName name="brdg" localSheetId="10">#REF!</definedName>
    <definedName name="brdg" localSheetId="23">#REF!</definedName>
    <definedName name="brdg" localSheetId="24">#REF!</definedName>
    <definedName name="brdg" localSheetId="25">#REF!</definedName>
    <definedName name="brdg">#REF!</definedName>
    <definedName name="brdg2" localSheetId="9">#REF!</definedName>
    <definedName name="brdg2" localSheetId="10">#REF!</definedName>
    <definedName name="brdg2" localSheetId="23">#REF!</definedName>
    <definedName name="brdg2" localSheetId="24">#REF!</definedName>
    <definedName name="brdg2" localSheetId="25">#REF!</definedName>
    <definedName name="brdg2">#REF!</definedName>
    <definedName name="buyer" localSheetId="9">[12]IncSummary!#REF!</definedName>
    <definedName name="buyer" localSheetId="10">[12]IncSummary!#REF!</definedName>
    <definedName name="buyer" localSheetId="23">[12]IncSummary!#REF!</definedName>
    <definedName name="buyer" localSheetId="24">[12]IncSummary!#REF!</definedName>
    <definedName name="buyer" localSheetId="25">[12]IncSummary!#REF!</definedName>
    <definedName name="buyer">[12]IncSummary!#REF!</definedName>
    <definedName name="BWC_Inis">'[9]BWC Model'!$A$195</definedName>
    <definedName name="Calculations" localSheetId="9">#REF!</definedName>
    <definedName name="Calculations" localSheetId="10">#REF!</definedName>
    <definedName name="Calculations" localSheetId="23">#REF!</definedName>
    <definedName name="Calculations" localSheetId="24">#REF!</definedName>
    <definedName name="Calculations" localSheetId="25">#REF!</definedName>
    <definedName name="Calculations">#REF!</definedName>
    <definedName name="capexcase" localSheetId="9">[12]Inputs!#REF!</definedName>
    <definedName name="capexcase" localSheetId="10">[12]Inputs!#REF!</definedName>
    <definedName name="capexcase" localSheetId="23">[12]Inputs!#REF!</definedName>
    <definedName name="capexcase" localSheetId="24">[12]Inputs!#REF!</definedName>
    <definedName name="capexcase" localSheetId="25">[12]Inputs!#REF!</definedName>
    <definedName name="capexcase">[12]Inputs!#REF!</definedName>
    <definedName name="capture" localSheetId="9">#REF!</definedName>
    <definedName name="capture" localSheetId="10">#REF!</definedName>
    <definedName name="capture" localSheetId="23">#REF!</definedName>
    <definedName name="capture" localSheetId="24">#REF!</definedName>
    <definedName name="capture" localSheetId="25">#REF!</definedName>
    <definedName name="capture">#REF!</definedName>
    <definedName name="CARRY" localSheetId="9">[13]Fin_Assumptions!#REF!</definedName>
    <definedName name="CARRY" localSheetId="10">[13]Fin_Assumptions!#REF!</definedName>
    <definedName name="CARRY" localSheetId="23">[13]Fin_Assumptions!#REF!</definedName>
    <definedName name="CARRY" localSheetId="24">[13]Fin_Assumptions!#REF!</definedName>
    <definedName name="CARRY" localSheetId="25">[13]Fin_Assumptions!#REF!</definedName>
    <definedName name="CARRY">[13]Fin_Assumptions!#REF!</definedName>
    <definedName name="case" localSheetId="9">#REF!</definedName>
    <definedName name="case" localSheetId="10">#REF!</definedName>
    <definedName name="case" localSheetId="23">#REF!</definedName>
    <definedName name="case" localSheetId="24">#REF!</definedName>
    <definedName name="case" localSheetId="25">#REF!</definedName>
    <definedName name="case">#REF!</definedName>
    <definedName name="case_name">[14]Triggers!$A$3</definedName>
    <definedName name="CASE4" localSheetId="9">'[15]DCF Inputs'!#REF!</definedName>
    <definedName name="CASE4" localSheetId="10">'[15]DCF Inputs'!#REF!</definedName>
    <definedName name="CASE4" localSheetId="23">'[15]DCF Inputs'!#REF!</definedName>
    <definedName name="CASE4" localSheetId="24">'[15]DCF Inputs'!#REF!</definedName>
    <definedName name="CASE4" localSheetId="25">'[15]DCF Inputs'!#REF!</definedName>
    <definedName name="CASE4">'[15]DCF Inputs'!#REF!</definedName>
    <definedName name="casename">[16]LDCFinp!$D$18:$E$22</definedName>
    <definedName name="CASES1" localSheetId="9">#REF!</definedName>
    <definedName name="CASES1" localSheetId="10">#REF!</definedName>
    <definedName name="CASES1" localSheetId="23">#REF!</definedName>
    <definedName name="CASES1" localSheetId="24">#REF!</definedName>
    <definedName name="CASES1" localSheetId="25">#REF!</definedName>
    <definedName name="CASES1">#REF!</definedName>
    <definedName name="CASES2" localSheetId="9">#REF!</definedName>
    <definedName name="CASES2" localSheetId="10">#REF!</definedName>
    <definedName name="CASES2" localSheetId="23">#REF!</definedName>
    <definedName name="CASES2" localSheetId="24">#REF!</definedName>
    <definedName name="CASES2" localSheetId="25">#REF!</definedName>
    <definedName name="CASES2">#REF!</definedName>
    <definedName name="casetable" localSheetId="9">#REF!</definedName>
    <definedName name="casetable" localSheetId="10">#REF!</definedName>
    <definedName name="casetable" localSheetId="23">#REF!</definedName>
    <definedName name="casetable" localSheetId="24">#REF!</definedName>
    <definedName name="casetable" localSheetId="25">#REF!</definedName>
    <definedName name="casetable">#REF!</definedName>
    <definedName name="cash" localSheetId="9">#REF!</definedName>
    <definedName name="cash" localSheetId="10">#REF!</definedName>
    <definedName name="cash" localSheetId="23">#REF!</definedName>
    <definedName name="cash" localSheetId="24">#REF!</definedName>
    <definedName name="cash" localSheetId="25">#REF!</definedName>
    <definedName name="cash">#REF!</definedName>
    <definedName name="Cash___Equivalents">[1]Inputs!$B$11</definedName>
    <definedName name="cashearnrate" localSheetId="9">#REF!</definedName>
    <definedName name="cashearnrate" localSheetId="10">#REF!</definedName>
    <definedName name="cashearnrate" localSheetId="23">#REF!</definedName>
    <definedName name="cashearnrate" localSheetId="24">#REF!</definedName>
    <definedName name="cashearnrate" localSheetId="25">#REF!</definedName>
    <definedName name="cashearnrate">#REF!</definedName>
    <definedName name="cashrate" localSheetId="9">#REF!</definedName>
    <definedName name="cashrate" localSheetId="10">#REF!</definedName>
    <definedName name="cashrate" localSheetId="23">#REF!</definedName>
    <definedName name="cashrate" localSheetId="24">#REF!</definedName>
    <definedName name="cashrate" localSheetId="25">#REF!</definedName>
    <definedName name="cashrate">#REF!</definedName>
    <definedName name="CC_List" localSheetId="9">#REF!</definedName>
    <definedName name="CC_List" localSheetId="10">#REF!</definedName>
    <definedName name="CC_List" localSheetId="23">#REF!</definedName>
    <definedName name="CC_List" localSheetId="24">#REF!</definedName>
    <definedName name="CC_List" localSheetId="25">#REF!</definedName>
    <definedName name="CC_List">#REF!</definedName>
    <definedName name="cdtechjv" localSheetId="9">#REF!</definedName>
    <definedName name="cdtechjv" localSheetId="10">#REF!</definedName>
    <definedName name="cdtechjv" localSheetId="23">#REF!</definedName>
    <definedName name="cdtechjv" localSheetId="24">#REF!</definedName>
    <definedName name="cdtechjv" localSheetId="25">#REF!</definedName>
    <definedName name="cdtechjv">#REF!</definedName>
    <definedName name="Cendon" localSheetId="9">#REF!</definedName>
    <definedName name="Cendon" localSheetId="10">#REF!</definedName>
    <definedName name="Cendon" localSheetId="23">#REF!</definedName>
    <definedName name="Cendon" localSheetId="24">#REF!</definedName>
    <definedName name="Cendon" localSheetId="25">#REF!</definedName>
    <definedName name="Cendon">#REF!</definedName>
    <definedName name="CF" localSheetId="9">#REF!</definedName>
    <definedName name="CF" localSheetId="10">#REF!</definedName>
    <definedName name="CF" localSheetId="23">#REF!</definedName>
    <definedName name="CF" localSheetId="24">#REF!</definedName>
    <definedName name="CF" localSheetId="25">#REF!</definedName>
    <definedName name="CF">#REF!</definedName>
    <definedName name="ChartsTable" localSheetId="9">#REF!</definedName>
    <definedName name="ChartsTable" localSheetId="10">#REF!</definedName>
    <definedName name="ChartsTable" localSheetId="23">#REF!</definedName>
    <definedName name="ChartsTable" localSheetId="24">#REF!</definedName>
    <definedName name="ChartsTable" localSheetId="25">#REF!</definedName>
    <definedName name="ChartsTable">#REF!</definedName>
    <definedName name="Chico" localSheetId="9">#REF!</definedName>
    <definedName name="Chico" localSheetId="10">#REF!</definedName>
    <definedName name="Chico" localSheetId="23">#REF!</definedName>
    <definedName name="Chico" localSheetId="24">#REF!</definedName>
    <definedName name="Chico" localSheetId="25">#REF!</definedName>
    <definedName name="Chico">#REF!</definedName>
    <definedName name="CIQWBGuid" hidden="1">"Management Deck Worksheet Q3 2012.xlsx"</definedName>
    <definedName name="clgjv" localSheetId="9">#REF!</definedName>
    <definedName name="clgjv" localSheetId="10">#REF!</definedName>
    <definedName name="clgjv" localSheetId="23">#REF!</definedName>
    <definedName name="clgjv" localSheetId="24">#REF!</definedName>
    <definedName name="clgjv" localSheetId="25">#REF!</definedName>
    <definedName name="clgjv">#REF!</definedName>
    <definedName name="COLLAR_CENTER" localSheetId="9">#REF!</definedName>
    <definedName name="COLLAR_CENTER" localSheetId="10">#REF!</definedName>
    <definedName name="COLLAR_CENTER" localSheetId="23">#REF!</definedName>
    <definedName name="COLLAR_CENTER" localSheetId="24">#REF!</definedName>
    <definedName name="COLLAR_CENTER" localSheetId="25">#REF!</definedName>
    <definedName name="COLLAR_CENTER">#REF!</definedName>
    <definedName name="COLLAR_LEFT" localSheetId="9">#REF!</definedName>
    <definedName name="COLLAR_LEFT" localSheetId="10">#REF!</definedName>
    <definedName name="COLLAR_LEFT" localSheetId="23">#REF!</definedName>
    <definedName name="COLLAR_LEFT" localSheetId="24">#REF!</definedName>
    <definedName name="COLLAR_LEFT" localSheetId="25">#REF!</definedName>
    <definedName name="COLLAR_LEFT">#REF!</definedName>
    <definedName name="COLLAR_RIGHT" localSheetId="9">#REF!</definedName>
    <definedName name="COLLAR_RIGHT" localSheetId="10">#REF!</definedName>
    <definedName name="COLLAR_RIGHT" localSheetId="23">#REF!</definedName>
    <definedName name="COLLAR_RIGHT" localSheetId="24">#REF!</definedName>
    <definedName name="COLLAR_RIGHT" localSheetId="25">#REF!</definedName>
    <definedName name="COLLAR_RIGHT">#REF!</definedName>
    <definedName name="Comb_Qtr" localSheetId="9">#REF!</definedName>
    <definedName name="Comb_Qtr" localSheetId="10">#REF!</definedName>
    <definedName name="Comb_Qtr" localSheetId="23">#REF!</definedName>
    <definedName name="Comb_Qtr" localSheetId="24">#REF!</definedName>
    <definedName name="Comb_Qtr" localSheetId="25">#REF!</definedName>
    <definedName name="Comb_Qtr">#REF!</definedName>
    <definedName name="COMB05VSCOM" localSheetId="9">#REF!</definedName>
    <definedName name="COMB05VSCOM" localSheetId="10">#REF!</definedName>
    <definedName name="COMB05VSCOM" localSheetId="23">#REF!</definedName>
    <definedName name="COMB05VSCOM" localSheetId="24">#REF!</definedName>
    <definedName name="COMB05VSCOM" localSheetId="25">#REF!</definedName>
    <definedName name="COMB05VSCOM">#REF!</definedName>
    <definedName name="COMB06VSCOM" localSheetId="9">#REF!</definedName>
    <definedName name="COMB06VSCOM" localSheetId="10">#REF!</definedName>
    <definedName name="COMB06VSCOM" localSheetId="23">#REF!</definedName>
    <definedName name="COMB06VSCOM" localSheetId="24">#REF!</definedName>
    <definedName name="COMB06VSCOM" localSheetId="25">#REF!</definedName>
    <definedName name="COMB06VSCOM">#REF!</definedName>
    <definedName name="COMB07VSCOM" localSheetId="9">#REF!</definedName>
    <definedName name="COMB07VSCOM" localSheetId="10">#REF!</definedName>
    <definedName name="COMB07VSCOM" localSheetId="23">#REF!</definedName>
    <definedName name="COMB07VSCOM" localSheetId="24">#REF!</definedName>
    <definedName name="COMB07VSCOM" localSheetId="25">#REF!</definedName>
    <definedName name="COMB07VSCOM">#REF!</definedName>
    <definedName name="COMBAOPM03QTD" localSheetId="9">#REF!</definedName>
    <definedName name="COMBAOPM03QTD" localSheetId="10">#REF!</definedName>
    <definedName name="COMBAOPM03QTD" localSheetId="23">#REF!</definedName>
    <definedName name="COMBAOPM03QTD" localSheetId="24">#REF!</definedName>
    <definedName name="COMBAOPM03QTD" localSheetId="25">#REF!</definedName>
    <definedName name="COMBAOPM03QTD">#REF!</definedName>
    <definedName name="COMBAOPMO1" localSheetId="9">#REF!</definedName>
    <definedName name="COMBAOPMO1" localSheetId="10">#REF!</definedName>
    <definedName name="COMBAOPMO1" localSheetId="23">#REF!</definedName>
    <definedName name="COMBAOPMO1" localSheetId="24">#REF!</definedName>
    <definedName name="COMBAOPMO1" localSheetId="25">#REF!</definedName>
    <definedName name="COMBAOPMO1">#REF!</definedName>
    <definedName name="COMBAOPMO2" localSheetId="9">#REF!</definedName>
    <definedName name="COMBAOPMO2" localSheetId="10">#REF!</definedName>
    <definedName name="COMBAOPMO2" localSheetId="23">#REF!</definedName>
    <definedName name="COMBAOPMO2" localSheetId="24">#REF!</definedName>
    <definedName name="COMBAOPMO2" localSheetId="25">#REF!</definedName>
    <definedName name="COMBAOPMO2">#REF!</definedName>
    <definedName name="COMBAOPMO2QTD" localSheetId="9">#REF!</definedName>
    <definedName name="COMBAOPMO2QTD" localSheetId="10">#REF!</definedName>
    <definedName name="COMBAOPMO2QTD" localSheetId="23">#REF!</definedName>
    <definedName name="COMBAOPMO2QTD" localSheetId="24">#REF!</definedName>
    <definedName name="COMBAOPMO2QTD" localSheetId="25">#REF!</definedName>
    <definedName name="COMBAOPMO2QTD">#REF!</definedName>
    <definedName name="COMBAOPMO3" localSheetId="9">#REF!</definedName>
    <definedName name="COMBAOPMO3" localSheetId="10">#REF!</definedName>
    <definedName name="COMBAOPMO3" localSheetId="23">#REF!</definedName>
    <definedName name="COMBAOPMO3" localSheetId="24">#REF!</definedName>
    <definedName name="COMBAOPMO3" localSheetId="25">#REF!</definedName>
    <definedName name="COMBAOPMO3">#REF!</definedName>
    <definedName name="COMBAOPQTR" localSheetId="9">#REF!</definedName>
    <definedName name="COMBAOPQTR" localSheetId="10">#REF!</definedName>
    <definedName name="COMBAOPQTR" localSheetId="23">#REF!</definedName>
    <definedName name="COMBAOPQTR" localSheetId="24">#REF!</definedName>
    <definedName name="COMBAOPQTR" localSheetId="25">#REF!</definedName>
    <definedName name="COMBAOPQTR">#REF!</definedName>
    <definedName name="COMBAOPYR1" localSheetId="9">#REF!</definedName>
    <definedName name="COMBAOPYR1" localSheetId="10">#REF!</definedName>
    <definedName name="COMBAOPYR1" localSheetId="23">#REF!</definedName>
    <definedName name="COMBAOPYR1" localSheetId="24">#REF!</definedName>
    <definedName name="COMBAOPYR1" localSheetId="25">#REF!</definedName>
    <definedName name="COMBAOPYR1">#REF!</definedName>
    <definedName name="COMBAOPYR2" localSheetId="9">#REF!</definedName>
    <definedName name="COMBAOPYR2" localSheetId="10">#REF!</definedName>
    <definedName name="COMBAOPYR2" localSheetId="23">#REF!</definedName>
    <definedName name="COMBAOPYR2" localSheetId="24">#REF!</definedName>
    <definedName name="COMBAOPYR2" localSheetId="25">#REF!</definedName>
    <definedName name="COMBAOPYR2">#REF!</definedName>
    <definedName name="COMBAOPYR3" localSheetId="9">#REF!</definedName>
    <definedName name="COMBAOPYR3" localSheetId="10">#REF!</definedName>
    <definedName name="COMBAOPYR3" localSheetId="23">#REF!</definedName>
    <definedName name="COMBAOPYR3" localSheetId="24">#REF!</definedName>
    <definedName name="COMBAOPYR3" localSheetId="25">#REF!</definedName>
    <definedName name="COMBAOPYR3">#REF!</definedName>
    <definedName name="COMBMONTH" localSheetId="9">#REF!</definedName>
    <definedName name="COMBMONTH" localSheetId="10">#REF!</definedName>
    <definedName name="COMBMONTH" localSheetId="23">#REF!</definedName>
    <definedName name="COMBMONTH" localSheetId="24">#REF!</definedName>
    <definedName name="COMBMONTH" localSheetId="25">#REF!</definedName>
    <definedName name="COMBMONTH">#REF!</definedName>
    <definedName name="COMBQTRVSCOM" localSheetId="9">#REF!</definedName>
    <definedName name="COMBQTRVSCOM" localSheetId="10">#REF!</definedName>
    <definedName name="COMBQTRVSCOM" localSheetId="23">#REF!</definedName>
    <definedName name="COMBQTRVSCOM" localSheetId="24">#REF!</definedName>
    <definedName name="COMBQTRVSCOM" localSheetId="25">#REF!</definedName>
    <definedName name="COMBQTRVSCOM">#REF!</definedName>
    <definedName name="commissionrate">'[17]Cost Savings Detail'!$F$144</definedName>
    <definedName name="comp" localSheetId="9">#REF!</definedName>
    <definedName name="comp" localSheetId="10">#REF!</definedName>
    <definedName name="comp" localSheetId="23">#REF!</definedName>
    <definedName name="comp" localSheetId="24">#REF!</definedName>
    <definedName name="comp" localSheetId="25">#REF!</definedName>
    <definedName name="comp">#REF!</definedName>
    <definedName name="Companies">[18]Company!$A$8:$A$36</definedName>
    <definedName name="Companies2">[18]Company!$A$8+[18]Company!$A$36</definedName>
    <definedName name="Company_Alias">[19]Inputs!$E$2</definedName>
    <definedName name="Company_Alias_2">[19]Inputs!$E$25</definedName>
    <definedName name="Comps" localSheetId="9">#REF!</definedName>
    <definedName name="Comps" localSheetId="10">#REF!</definedName>
    <definedName name="Comps" localSheetId="23">#REF!</definedName>
    <definedName name="Comps" localSheetId="24">#REF!</definedName>
    <definedName name="Comps" localSheetId="25">#REF!</definedName>
    <definedName name="Comps">#REF!</definedName>
    <definedName name="convention" localSheetId="9">#REF!</definedName>
    <definedName name="convention" localSheetId="10">#REF!</definedName>
    <definedName name="convention" localSheetId="23">#REF!</definedName>
    <definedName name="convention" localSheetId="24">#REF!</definedName>
    <definedName name="convention" localSheetId="25">#REF!</definedName>
    <definedName name="convention">#REF!</definedName>
    <definedName name="CONVERSION" localSheetId="9">[13]Fin_Assumptions!#REF!</definedName>
    <definedName name="CONVERSION" localSheetId="10">[13]Fin_Assumptions!#REF!</definedName>
    <definedName name="CONVERSION" localSheetId="23">[13]Fin_Assumptions!#REF!</definedName>
    <definedName name="CONVERSION" localSheetId="24">[13]Fin_Assumptions!#REF!</definedName>
    <definedName name="CONVERSION" localSheetId="25">[13]Fin_Assumptions!#REF!</definedName>
    <definedName name="CONVERSION">[13]Fin_Assumptions!#REF!</definedName>
    <definedName name="convertcoupon" localSheetId="9">#REF!</definedName>
    <definedName name="convertcoupon" localSheetId="10">#REF!</definedName>
    <definedName name="convertcoupon" localSheetId="23">#REF!</definedName>
    <definedName name="convertcoupon" localSheetId="24">#REF!</definedName>
    <definedName name="convertcoupon" localSheetId="25">#REF!</definedName>
    <definedName name="convertcoupon">#REF!</definedName>
    <definedName name="Corp_Inis">'[9]Corporate Model'!$A$190</definedName>
    <definedName name="costdebtfirm" localSheetId="9">#REF!</definedName>
    <definedName name="costdebtfirm" localSheetId="10">#REF!</definedName>
    <definedName name="costdebtfirm" localSheetId="23">#REF!</definedName>
    <definedName name="costdebtfirm" localSheetId="24">#REF!</definedName>
    <definedName name="costdebtfirm" localSheetId="25">#REF!</definedName>
    <definedName name="costdebtfirm">#REF!</definedName>
    <definedName name="costequity" localSheetId="9">'[20]DCF Model'!#REF!</definedName>
    <definedName name="costequity" localSheetId="10">'[20]DCF Model'!#REF!</definedName>
    <definedName name="costequity" localSheetId="23">'[20]DCF Model'!#REF!</definedName>
    <definedName name="costequity" localSheetId="24">'[20]DCF Model'!#REF!</definedName>
    <definedName name="costequity" localSheetId="25">'[20]DCF Model'!#REF!</definedName>
    <definedName name="costequity">'[20]DCF Model'!#REF!</definedName>
    <definedName name="COUNTER" localSheetId="9">#REF!</definedName>
    <definedName name="COUNTER" localSheetId="10">#REF!</definedName>
    <definedName name="COUNTER" localSheetId="23">#REF!</definedName>
    <definedName name="COUNTER" localSheetId="24">#REF!</definedName>
    <definedName name="COUNTER" localSheetId="25">#REF!</definedName>
    <definedName name="COUNTER">#REF!</definedName>
    <definedName name="cpi" localSheetId="9">#REF!</definedName>
    <definedName name="cpi" localSheetId="10">#REF!</definedName>
    <definedName name="cpi" localSheetId="23">#REF!</definedName>
    <definedName name="cpi" localSheetId="24">#REF!</definedName>
    <definedName name="cpi" localSheetId="25">#REF!</definedName>
    <definedName name="cpi">#REF!</definedName>
    <definedName name="CREDITGRAPH" localSheetId="9">#REF!</definedName>
    <definedName name="CREDITGRAPH" localSheetId="10">#REF!</definedName>
    <definedName name="CREDITGRAPH" localSheetId="23">#REF!</definedName>
    <definedName name="CREDITGRAPH" localSheetId="24">#REF!</definedName>
    <definedName name="CREDITGRAPH" localSheetId="25">#REF!</definedName>
    <definedName name="CREDITGRAPH">#REF!</definedName>
    <definedName name="currency">[21]DCEInputs!$A$25</definedName>
    <definedName name="Current_Price">[1]Inputs!$B$4</definedName>
    <definedName name="Current_Price2">[19]Inputs!$B$31</definedName>
    <definedName name="cutoff">'[22]Summary History'!$C$2</definedName>
    <definedName name="da">[23]Inputs!$B$2</definedName>
    <definedName name="Data">[24]Data!$A$1:$DY$75</definedName>
    <definedName name="_xlnm.Database" localSheetId="6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>#REF!</definedName>
    <definedName name="DATE" localSheetId="9">#REF!</definedName>
    <definedName name="DATE" localSheetId="10">#REF!</definedName>
    <definedName name="DATE" localSheetId="23">#REF!</definedName>
    <definedName name="DATE" localSheetId="24">#REF!</definedName>
    <definedName name="DATE" localSheetId="25">#REF!</definedName>
    <definedName name="DATE">#REF!</definedName>
    <definedName name="DCF" localSheetId="9">#REF!</definedName>
    <definedName name="DCF" localSheetId="10">#REF!</definedName>
    <definedName name="DCF" localSheetId="23">#REF!</definedName>
    <definedName name="DCF" localSheetId="24">#REF!</definedName>
    <definedName name="DCF" localSheetId="25">#REF!</definedName>
    <definedName name="DCF">#REF!</definedName>
    <definedName name="DCF_NO_YRS" localSheetId="9">#REF!</definedName>
    <definedName name="DCF_NO_YRS" localSheetId="10">#REF!</definedName>
    <definedName name="DCF_NO_YRS" localSheetId="23">#REF!</definedName>
    <definedName name="DCF_NO_YRS" localSheetId="24">#REF!</definedName>
    <definedName name="DCF_NO_YRS" localSheetId="25">#REF!</definedName>
    <definedName name="DCF_NO_YRS">#REF!</definedName>
    <definedName name="DCF_VAL_MNTH" localSheetId="9">#REF!</definedName>
    <definedName name="DCF_VAL_MNTH" localSheetId="10">#REF!</definedName>
    <definedName name="DCF_VAL_MNTH" localSheetId="23">#REF!</definedName>
    <definedName name="DCF_VAL_MNTH" localSheetId="24">#REF!</definedName>
    <definedName name="DCF_VAL_MNTH" localSheetId="25">#REF!</definedName>
    <definedName name="DCF_VAL_MNTH">#REF!</definedName>
    <definedName name="DEAL" localSheetId="9">[13]Fin_Assumptions!#REF!</definedName>
    <definedName name="DEAL" localSheetId="10">[13]Fin_Assumptions!#REF!</definedName>
    <definedName name="DEAL" localSheetId="23">[13]Fin_Assumptions!#REF!</definedName>
    <definedName name="DEAL" localSheetId="24">[13]Fin_Assumptions!#REF!</definedName>
    <definedName name="DEAL" localSheetId="25">[13]Fin_Assumptions!#REF!</definedName>
    <definedName name="DEAL">[13]Fin_Assumptions!#REF!</definedName>
    <definedName name="Debt" localSheetId="9">'[8]B&amp;W WACC'!#REF!</definedName>
    <definedName name="Debt" localSheetId="10">'[8]B&amp;W WACC'!#REF!</definedName>
    <definedName name="Debt" localSheetId="23">'[8]B&amp;W WACC'!#REF!</definedName>
    <definedName name="Debt" localSheetId="24">'[8]B&amp;W WACC'!#REF!</definedName>
    <definedName name="Debt" localSheetId="25">'[8]B&amp;W WACC'!#REF!</definedName>
    <definedName name="Debt">'[8]B&amp;W WACC'!#REF!</definedName>
    <definedName name="Debt_Beta" localSheetId="9">'[8]B&amp;W WACC'!#REF!</definedName>
    <definedName name="Debt_Beta" localSheetId="10">'[8]B&amp;W WACC'!#REF!</definedName>
    <definedName name="Debt_Beta" localSheetId="23">'[8]B&amp;W WACC'!#REF!</definedName>
    <definedName name="Debt_Beta" localSheetId="24">'[8]B&amp;W WACC'!#REF!</definedName>
    <definedName name="Debt_Beta" localSheetId="25">'[8]B&amp;W WACC'!#REF!</definedName>
    <definedName name="Debt_Beta">'[8]B&amp;W WACC'!#REF!</definedName>
    <definedName name="debt_weight" localSheetId="9">#REF!</definedName>
    <definedName name="debt_weight" localSheetId="10">#REF!</definedName>
    <definedName name="debt_weight" localSheetId="23">#REF!</definedName>
    <definedName name="debt_weight" localSheetId="24">#REF!</definedName>
    <definedName name="debt_weight" localSheetId="25">#REF!</definedName>
    <definedName name="debt_weight">#REF!</definedName>
    <definedName name="debtrate" localSheetId="9">#REF!</definedName>
    <definedName name="debtrate" localSheetId="10">#REF!</definedName>
    <definedName name="debtrate" localSheetId="23">#REF!</definedName>
    <definedName name="debtrate" localSheetId="24">#REF!</definedName>
    <definedName name="debtrate" localSheetId="25">#REF!</definedName>
    <definedName name="debtrate">#REF!</definedName>
    <definedName name="deferred" localSheetId="9">[13]Fin_Assumptions!#REF!</definedName>
    <definedName name="deferred" localSheetId="10">[13]Fin_Assumptions!#REF!</definedName>
    <definedName name="deferred" localSheetId="23">[13]Fin_Assumptions!#REF!</definedName>
    <definedName name="deferred" localSheetId="24">[13]Fin_Assumptions!#REF!</definedName>
    <definedName name="deferred" localSheetId="25">[13]Fin_Assumptions!#REF!</definedName>
    <definedName name="deferred">[13]Fin_Assumptions!#REF!</definedName>
    <definedName name="dfdfdf" localSheetId="9" hidden="1">[2]FxdChg!#REF!</definedName>
    <definedName name="dfdfdf" localSheetId="10" hidden="1">[2]FxdChg!#REF!</definedName>
    <definedName name="dfdfdf" localSheetId="23" hidden="1">[2]FxdChg!#REF!</definedName>
    <definedName name="dfdfdf" localSheetId="24" hidden="1">[2]FxdChg!#REF!</definedName>
    <definedName name="dfdfdf" localSheetId="25" hidden="1">[2]FxdChg!#REF!</definedName>
    <definedName name="dfdfdf" hidden="1">[2]FxdChg!#REF!</definedName>
    <definedName name="DIR" localSheetId="9">[5]Inputs!#REF!</definedName>
    <definedName name="DIR" localSheetId="10">[5]Inputs!#REF!</definedName>
    <definedName name="DIR" localSheetId="23">[5]Inputs!#REF!</definedName>
    <definedName name="DIR" localSheetId="24">[5]Inputs!#REF!</definedName>
    <definedName name="DIR" localSheetId="25">[5]Inputs!#REF!</definedName>
    <definedName name="DIR">[5]Inputs!#REF!</definedName>
    <definedName name="Discounted" localSheetId="9">#REF!</definedName>
    <definedName name="Discounted" localSheetId="10">#REF!</definedName>
    <definedName name="Discounted" localSheetId="23">#REF!</definedName>
    <definedName name="Discounted" localSheetId="24">#REF!</definedName>
    <definedName name="Discounted" localSheetId="25">#REF!</definedName>
    <definedName name="Discounted">#REF!</definedName>
    <definedName name="DisplaySelectedSheetsMacroButton" localSheetId="9">#REF!</definedName>
    <definedName name="DisplaySelectedSheetsMacroButton" localSheetId="10">#REF!</definedName>
    <definedName name="DisplaySelectedSheetsMacroButton" localSheetId="23">#REF!</definedName>
    <definedName name="DisplaySelectedSheetsMacroButton" localSheetId="24">#REF!</definedName>
    <definedName name="DisplaySelectedSheetsMacroButton" localSheetId="25">#REF!</definedName>
    <definedName name="DisplaySelectedSheetsMacroButton">#REF!</definedName>
    <definedName name="div" localSheetId="9">#REF!</definedName>
    <definedName name="div" localSheetId="10">#REF!</definedName>
    <definedName name="div" localSheetId="23">#REF!</definedName>
    <definedName name="div" localSheetId="24">#REF!</definedName>
    <definedName name="div" localSheetId="25">#REF!</definedName>
    <definedName name="div">#REF!</definedName>
    <definedName name="dividend" localSheetId="9">#REF!</definedName>
    <definedName name="dividend" localSheetId="10">#REF!</definedName>
    <definedName name="dividend" localSheetId="23">#REF!</definedName>
    <definedName name="dividend" localSheetId="24">#REF!</definedName>
    <definedName name="dividend" localSheetId="25">#REF!</definedName>
    <definedName name="dividend">#REF!</definedName>
    <definedName name="dividends" localSheetId="9">[25]TRANSACTION!#REF!</definedName>
    <definedName name="dividends" localSheetId="10">[25]TRANSACTION!#REF!</definedName>
    <definedName name="dividends" localSheetId="23">[25]TRANSACTION!#REF!</definedName>
    <definedName name="dividends" localSheetId="24">[25]TRANSACTION!#REF!</definedName>
    <definedName name="dividends" localSheetId="25">[25]TRANSACTION!#REF!</definedName>
    <definedName name="dividends">[25]TRANSACTION!#REF!</definedName>
    <definedName name="DocType" localSheetId="9">Word</definedName>
    <definedName name="DocType" localSheetId="10">Word</definedName>
    <definedName name="DocType" localSheetId="23">Word</definedName>
    <definedName name="DocType" localSheetId="24">Word</definedName>
    <definedName name="DocType" localSheetId="25">Word</definedName>
    <definedName name="DocType">Word</definedName>
    <definedName name="dollar2" localSheetId="9">'[26]Dollar for Dollar'!#REF!</definedName>
    <definedName name="dollar2" localSheetId="10">'[26]Dollar for Dollar'!#REF!</definedName>
    <definedName name="dollar2" localSheetId="23">'[26]Dollar for Dollar'!#REF!</definedName>
    <definedName name="dollar2" localSheetId="24">'[26]Dollar for Dollar'!#REF!</definedName>
    <definedName name="dollar2" localSheetId="25">'[26]Dollar for Dollar'!#REF!</definedName>
    <definedName name="dollar2">'[26]Dollar for Dollar'!#REF!</definedName>
    <definedName name="downside" localSheetId="9">[27]Transaction!#REF!</definedName>
    <definedName name="downside" localSheetId="10">[27]Transaction!#REF!</definedName>
    <definedName name="downside" localSheetId="23">[27]Transaction!#REF!</definedName>
    <definedName name="downside" localSheetId="24">[27]Transaction!#REF!</definedName>
    <definedName name="downside" localSheetId="25">[27]Transaction!#REF!</definedName>
    <definedName name="downside">[27]Transaction!#REF!</definedName>
    <definedName name="DP" localSheetId="9">[28]Schedules!#REF!</definedName>
    <definedName name="DP" localSheetId="10">[28]Schedules!#REF!</definedName>
    <definedName name="DP" localSheetId="23">[28]Schedules!#REF!</definedName>
    <definedName name="DP" localSheetId="24">[28]Schedules!#REF!</definedName>
    <definedName name="DP" localSheetId="25">[28]Schedules!#REF!</definedName>
    <definedName name="DP">[28]Schedules!#REF!</definedName>
    <definedName name="e_cust" localSheetId="9">[29]Lookups!#REF!</definedName>
    <definedName name="e_cust" localSheetId="10">[29]Lookups!#REF!</definedName>
    <definedName name="e_cust" localSheetId="23">[29]Lookups!#REF!</definedName>
    <definedName name="e_cust" localSheetId="24">[29]Lookups!#REF!</definedName>
    <definedName name="e_cust" localSheetId="25">[29]Lookups!#REF!</definedName>
    <definedName name="e_cust">[29]Lookups!#REF!</definedName>
    <definedName name="e_gen" localSheetId="9">[29]Lookups!#REF!</definedName>
    <definedName name="e_gen" localSheetId="10">[29]Lookups!#REF!</definedName>
    <definedName name="e_gen" localSheetId="23">[29]Lookups!#REF!</definedName>
    <definedName name="e_gen" localSheetId="24">[29]Lookups!#REF!</definedName>
    <definedName name="e_gen" localSheetId="25">[29]Lookups!#REF!</definedName>
    <definedName name="e_gen">[29]Lookups!#REF!</definedName>
    <definedName name="e_labor" localSheetId="9">[29]Lookups!#REF!</definedName>
    <definedName name="e_labor" localSheetId="10">[29]Lookups!#REF!</definedName>
    <definedName name="e_labor" localSheetId="23">[29]Lookups!#REF!</definedName>
    <definedName name="e_labor" localSheetId="24">[29]Lookups!#REF!</definedName>
    <definedName name="e_labor" localSheetId="25">[29]Lookups!#REF!</definedName>
    <definedName name="e_labor">[29]Lookups!#REF!</definedName>
    <definedName name="e_mat" localSheetId="9">[29]Lookups!#REF!</definedName>
    <definedName name="e_mat" localSheetId="10">[29]Lookups!#REF!</definedName>
    <definedName name="e_mat" localSheetId="23">[29]Lookups!#REF!</definedName>
    <definedName name="e_mat" localSheetId="24">[29]Lookups!#REF!</definedName>
    <definedName name="e_mat" localSheetId="25">[29]Lookups!#REF!</definedName>
    <definedName name="e_mat">[29]Lookups!#REF!</definedName>
    <definedName name="e_ohead" localSheetId="9">[29]Lookups!#REF!</definedName>
    <definedName name="e_ohead" localSheetId="10">[29]Lookups!#REF!</definedName>
    <definedName name="e_ohead" localSheetId="23">[29]Lookups!#REF!</definedName>
    <definedName name="e_ohead" localSheetId="24">[29]Lookups!#REF!</definedName>
    <definedName name="e_ohead" localSheetId="25">[29]Lookups!#REF!</definedName>
    <definedName name="e_ohead">[29]Lookups!#REF!</definedName>
    <definedName name="e_sell" localSheetId="9">[29]Lookups!#REF!</definedName>
    <definedName name="e_sell" localSheetId="10">[29]Lookups!#REF!</definedName>
    <definedName name="e_sell" localSheetId="23">[29]Lookups!#REF!</definedName>
    <definedName name="e_sell" localSheetId="24">[29]Lookups!#REF!</definedName>
    <definedName name="e_sell" localSheetId="25">[29]Lookups!#REF!</definedName>
    <definedName name="e_sell">[29]Lookups!#REF!</definedName>
    <definedName name="e_sell2" localSheetId="9">[29]Lookups!#REF!</definedName>
    <definedName name="e_sell2" localSheetId="10">[29]Lookups!#REF!</definedName>
    <definedName name="e_sell2" localSheetId="23">[29]Lookups!#REF!</definedName>
    <definedName name="e_sell2" localSheetId="24">[29]Lookups!#REF!</definedName>
    <definedName name="e_sell2" localSheetId="25">[29]Lookups!#REF!</definedName>
    <definedName name="e_sell2">[29]Lookups!#REF!</definedName>
    <definedName name="earn" localSheetId="9">#REF!</definedName>
    <definedName name="earn" localSheetId="10">#REF!</definedName>
    <definedName name="earn" localSheetId="23">#REF!</definedName>
    <definedName name="earn" localSheetId="24">#REF!</definedName>
    <definedName name="earn" localSheetId="25">#REF!</definedName>
    <definedName name="earn">#REF!</definedName>
    <definedName name="ebsens">'[30]Trans Assump'!$G$56</definedName>
    <definedName name="em_sales" localSheetId="9">[29]Lookups!#REF!</definedName>
    <definedName name="em_sales" localSheetId="10">[29]Lookups!#REF!</definedName>
    <definedName name="em_sales" localSheetId="23">[29]Lookups!#REF!</definedName>
    <definedName name="em_sales" localSheetId="24">[29]Lookups!#REF!</definedName>
    <definedName name="em_sales" localSheetId="25">[29]Lookups!#REF!</definedName>
    <definedName name="em_sales">[29]Lookups!#REF!</definedName>
    <definedName name="equity">'[31]LBO Analysis'!$AB$23</definedName>
    <definedName name="euro">[32]BRKT!$C$11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 localSheetId="9">[13]Fin_Assumptions!#REF!</definedName>
    <definedName name="EXCESS" localSheetId="10">[13]Fin_Assumptions!#REF!</definedName>
    <definedName name="EXCESS" localSheetId="23">[13]Fin_Assumptions!#REF!</definedName>
    <definedName name="EXCESS" localSheetId="24">[13]Fin_Assumptions!#REF!</definedName>
    <definedName name="EXCESS" localSheetId="25">[13]Fin_Assumptions!#REF!</definedName>
    <definedName name="EXCESS">[13]Fin_Assumptions!#REF!</definedName>
    <definedName name="EXCHANGE" localSheetId="9">[13]Fin_Assumptions!#REF!</definedName>
    <definedName name="EXCHANGE" localSheetId="10">[13]Fin_Assumptions!#REF!</definedName>
    <definedName name="EXCHANGE" localSheetId="23">[13]Fin_Assumptions!#REF!</definedName>
    <definedName name="EXCHANGE" localSheetId="24">[13]Fin_Assumptions!#REF!</definedName>
    <definedName name="EXCHANGE" localSheetId="25">[13]Fin_Assumptions!#REF!</definedName>
    <definedName name="EXCHANGE">[13]Fin_Assumptions!#REF!</definedName>
    <definedName name="exchangerate">[21]DCEInputs!$I$8</definedName>
    <definedName name="excl_data" localSheetId="9">#REF!</definedName>
    <definedName name="excl_data" localSheetId="10">#REF!</definedName>
    <definedName name="excl_data" localSheetId="23">#REF!</definedName>
    <definedName name="excl_data" localSheetId="24">#REF!</definedName>
    <definedName name="excl_data" localSheetId="25">#REF!</definedName>
    <definedName name="excl_data">#REF!</definedName>
    <definedName name="EXDATE" localSheetId="9">#REF!</definedName>
    <definedName name="EXDATE" localSheetId="10">#REF!</definedName>
    <definedName name="EXDATE" localSheetId="23">#REF!</definedName>
    <definedName name="EXDATE" localSheetId="24">#REF!</definedName>
    <definedName name="EXDATE" localSheetId="25">#REF!</definedName>
    <definedName name="EXDATE">#REF!</definedName>
    <definedName name="exit" localSheetId="9">#REF!</definedName>
    <definedName name="exit" localSheetId="10">#REF!</definedName>
    <definedName name="exit" localSheetId="23">#REF!</definedName>
    <definedName name="exit" localSheetId="24">#REF!</definedName>
    <definedName name="exit" localSheetId="25">#REF!</definedName>
    <definedName name="exit">#REF!</definedName>
    <definedName name="exit_own" localSheetId="9">'[6]Deal Summary'!#REF!</definedName>
    <definedName name="exit_own" localSheetId="10">'[6]Deal Summary'!#REF!</definedName>
    <definedName name="exit_own" localSheetId="23">'[6]Deal Summary'!#REF!</definedName>
    <definedName name="exit_own" localSheetId="24">'[6]Deal Summary'!#REF!</definedName>
    <definedName name="exit_own" localSheetId="25">'[6]Deal Summary'!#REF!</definedName>
    <definedName name="exit_own">'[6]Deal Summary'!#REF!</definedName>
    <definedName name="exitentvalue" localSheetId="9">[33]Transaction!#REF!</definedName>
    <definedName name="exitentvalue" localSheetId="10">[33]Transaction!#REF!</definedName>
    <definedName name="exitentvalue" localSheetId="23">[33]Transaction!#REF!</definedName>
    <definedName name="exitentvalue" localSheetId="24">[33]Transaction!#REF!</definedName>
    <definedName name="exitentvalue" localSheetId="25">[33]Transaction!#REF!</definedName>
    <definedName name="exitentvalue">[33]Transaction!#REF!</definedName>
    <definedName name="exitmult" localSheetId="9">#REF!</definedName>
    <definedName name="exitmult" localSheetId="10">#REF!</definedName>
    <definedName name="exitmult" localSheetId="23">#REF!</definedName>
    <definedName name="exitmult" localSheetId="24">#REF!</definedName>
    <definedName name="exitmult" localSheetId="25">#REF!</definedName>
    <definedName name="exitmult">#REF!</definedName>
    <definedName name="exitstart" localSheetId="9">#REF!</definedName>
    <definedName name="exitstart" localSheetId="10">#REF!</definedName>
    <definedName name="exitstart" localSheetId="23">#REF!</definedName>
    <definedName name="exitstart" localSheetId="24">#REF!</definedName>
    <definedName name="exitstart" localSheetId="25">#REF!</definedName>
    <definedName name="exitstart">#REF!</definedName>
    <definedName name="exitstep" localSheetId="9">#REF!</definedName>
    <definedName name="exitstep" localSheetId="10">#REF!</definedName>
    <definedName name="exitstep" localSheetId="23">#REF!</definedName>
    <definedName name="exitstep" localSheetId="24">#REF!</definedName>
    <definedName name="exitstep" localSheetId="25">#REF!</definedName>
    <definedName name="exitstep">#REF!</definedName>
    <definedName name="f" localSheetId="9">Word</definedName>
    <definedName name="f" localSheetId="10">Word</definedName>
    <definedName name="f" localSheetId="23">Word</definedName>
    <definedName name="f" localSheetId="24">Word</definedName>
    <definedName name="f" localSheetId="25">Word</definedName>
    <definedName name="f">Word</definedName>
    <definedName name="FD" localSheetId="9">'[15]DCF Matrix'!#REF!</definedName>
    <definedName name="FD" localSheetId="10">'[15]DCF Matrix'!#REF!</definedName>
    <definedName name="FD" localSheetId="23">'[15]DCF Matrix'!#REF!</definedName>
    <definedName name="FD" localSheetId="24">'[15]DCF Matrix'!#REF!</definedName>
    <definedName name="FD" localSheetId="25">'[15]DCF Matrix'!#REF!</definedName>
    <definedName name="FD">'[15]DCF Matrix'!#REF!</definedName>
    <definedName name="FileName">[34]Sheet1!$D$2</definedName>
    <definedName name="financialcase">[17]Model!$D$8</definedName>
    <definedName name="Fincase" localSheetId="9">#REF!</definedName>
    <definedName name="Fincase" localSheetId="10">#REF!</definedName>
    <definedName name="Fincase" localSheetId="23">#REF!</definedName>
    <definedName name="Fincase" localSheetId="24">#REF!</definedName>
    <definedName name="Fincase" localSheetId="25">#REF!</definedName>
    <definedName name="Fincase">#REF!</definedName>
    <definedName name="finfees?" localSheetId="9">#REF!</definedName>
    <definedName name="finfees?" localSheetId="10">#REF!</definedName>
    <definedName name="finfees?" localSheetId="23">#REF!</definedName>
    <definedName name="finfees?" localSheetId="24">#REF!</definedName>
    <definedName name="finfees?" localSheetId="25">#REF!</definedName>
    <definedName name="finfees?">#REF!</definedName>
    <definedName name="fix" localSheetId="9">#REF!</definedName>
    <definedName name="fix" localSheetId="10">#REF!</definedName>
    <definedName name="fix" localSheetId="23">#REF!</definedName>
    <definedName name="fix" localSheetId="24">#REF!</definedName>
    <definedName name="fix" localSheetId="25">#REF!</definedName>
    <definedName name="fix">#REF!</definedName>
    <definedName name="fixed" localSheetId="9">[13]Controls!#REF!</definedName>
    <definedName name="fixed" localSheetId="10">[13]Controls!#REF!</definedName>
    <definedName name="fixed" localSheetId="23">[13]Controls!#REF!</definedName>
    <definedName name="fixed" localSheetId="24">[13]Controls!#REF!</definedName>
    <definedName name="fixed" localSheetId="25">[13]Controls!#REF!</definedName>
    <definedName name="fixed">[13]Controls!#REF!</definedName>
    <definedName name="fixedmargin">[17]Model!$AA$178</definedName>
    <definedName name="FNAME" localSheetId="9">[5]Inputs!#REF!</definedName>
    <definedName name="FNAME" localSheetId="10">[5]Inputs!#REF!</definedName>
    <definedName name="FNAME" localSheetId="23">[5]Inputs!#REF!</definedName>
    <definedName name="FNAME" localSheetId="24">[5]Inputs!#REF!</definedName>
    <definedName name="FNAME" localSheetId="25">[5]Inputs!#REF!</definedName>
    <definedName name="FNAME">[5]Inputs!#REF!</definedName>
    <definedName name="FROM_MERGER" localSheetId="9">[5]Inputs!#REF!</definedName>
    <definedName name="FROM_MERGER" localSheetId="10">[5]Inputs!#REF!</definedName>
    <definedName name="FROM_MERGER" localSheetId="23">[5]Inputs!#REF!</definedName>
    <definedName name="FROM_MERGER" localSheetId="24">[5]Inputs!#REF!</definedName>
    <definedName name="FROM_MERGER" localSheetId="25">[5]Inputs!#REF!</definedName>
    <definedName name="FROM_MERGER">[5]Inputs!#REF!</definedName>
    <definedName name="ftdexit" localSheetId="9">#REF!</definedName>
    <definedName name="ftdexit" localSheetId="10">#REF!</definedName>
    <definedName name="ftdexit" localSheetId="23">#REF!</definedName>
    <definedName name="ftdexit" localSheetId="24">#REF!</definedName>
    <definedName name="ftdexit" localSheetId="25">#REF!</definedName>
    <definedName name="ftdexit">#REF!</definedName>
    <definedName name="ftdlev" localSheetId="9">[27]Transaction!#REF!</definedName>
    <definedName name="ftdlev" localSheetId="10">[27]Transaction!#REF!</definedName>
    <definedName name="ftdlev" localSheetId="23">[27]Transaction!#REF!</definedName>
    <definedName name="ftdlev" localSheetId="24">[27]Transaction!#REF!</definedName>
    <definedName name="ftdlev" localSheetId="25">[27]Transaction!#REF!</definedName>
    <definedName name="ftdlev">[27]Transaction!#REF!</definedName>
    <definedName name="ftdpm" localSheetId="9">[27]Transaction!#REF!</definedName>
    <definedName name="ftdpm" localSheetId="10">[27]Transaction!#REF!</definedName>
    <definedName name="ftdpm" localSheetId="23">[27]Transaction!#REF!</definedName>
    <definedName name="ftdpm" localSheetId="24">[27]Transaction!#REF!</definedName>
    <definedName name="ftdpm" localSheetId="25">[27]Transaction!#REF!</definedName>
    <definedName name="ftdpm">[27]Transaction!#REF!</definedName>
    <definedName name="ftdprice" localSheetId="9">[27]Transaction!#REF!</definedName>
    <definedName name="ftdprice" localSheetId="10">[27]Transaction!#REF!</definedName>
    <definedName name="ftdprice" localSheetId="23">[27]Transaction!#REF!</definedName>
    <definedName name="ftdprice" localSheetId="24">[27]Transaction!#REF!</definedName>
    <definedName name="ftdprice" localSheetId="25">[27]Transaction!#REF!</definedName>
    <definedName name="ftdprice">[27]Transaction!#REF!</definedName>
    <definedName name="fyf" localSheetId="9">#REF!</definedName>
    <definedName name="fyf" localSheetId="10">#REF!</definedName>
    <definedName name="fyf" localSheetId="23">#REF!</definedName>
    <definedName name="fyf" localSheetId="24">#REF!</definedName>
    <definedName name="fyf" localSheetId="25">#REF!</definedName>
    <definedName name="fyf">#REF!</definedName>
    <definedName name="gnsusd" localSheetId="9">#REF!</definedName>
    <definedName name="gnsusd" localSheetId="10">#REF!</definedName>
    <definedName name="gnsusd" localSheetId="23">#REF!</definedName>
    <definedName name="gnsusd" localSheetId="24">#REF!</definedName>
    <definedName name="gnsusd" localSheetId="25">#REF!</definedName>
    <definedName name="gnsusd">#REF!</definedName>
    <definedName name="goodwill">[17]Model!$D$11</definedName>
    <definedName name="GRAPH" localSheetId="9">#REF!</definedName>
    <definedName name="GRAPH" localSheetId="10">#REF!</definedName>
    <definedName name="GRAPH" localSheetId="23">#REF!</definedName>
    <definedName name="GRAPH" localSheetId="24">#REF!</definedName>
    <definedName name="GRAPH" localSheetId="25">#REF!</definedName>
    <definedName name="GRAPH">#REF!</definedName>
    <definedName name="growth">[21]DCEInputs!$I$24</definedName>
    <definedName name="h10IRR" localSheetId="9">[35]Model!#REF!</definedName>
    <definedName name="h10IRR" localSheetId="10">[35]Model!#REF!</definedName>
    <definedName name="h10IRR" localSheetId="23">[35]Model!#REF!</definedName>
    <definedName name="h10IRR" localSheetId="24">[35]Model!#REF!</definedName>
    <definedName name="h10IRR" localSheetId="25">[35]Model!#REF!</definedName>
    <definedName name="h10IRR">[35]Model!#REF!</definedName>
    <definedName name="hdebtserv" localSheetId="9">[6]Rolex!#REF!</definedName>
    <definedName name="hdebtserv" localSheetId="10">[6]Rolex!#REF!</definedName>
    <definedName name="hdebtserv" localSheetId="23">[6]Rolex!#REF!</definedName>
    <definedName name="hdebtserv" localSheetId="24">[6]Rolex!#REF!</definedName>
    <definedName name="hdebtserv" localSheetId="25">[6]Rolex!#REF!</definedName>
    <definedName name="hdebtserv">[6]Rolex!#REF!</definedName>
    <definedName name="HedgeType">'[36]Financing Assumptions'!$N$12</definedName>
    <definedName name="helmsum" localSheetId="9">#REF!</definedName>
    <definedName name="helmsum" localSheetId="10">#REF!</definedName>
    <definedName name="helmsum" localSheetId="23">#REF!</definedName>
    <definedName name="helmsum" localSheetId="24">#REF!</definedName>
    <definedName name="helmsum" localSheetId="25">#REF!</definedName>
    <definedName name="helmsum">#REF!</definedName>
    <definedName name="HIST" localSheetId="9">#REF!</definedName>
    <definedName name="HIST" localSheetId="10">#REF!</definedName>
    <definedName name="HIST" localSheetId="23">#REF!</definedName>
    <definedName name="HIST" localSheetId="24">#REF!</definedName>
    <definedName name="HIST" localSheetId="25">#REF!</definedName>
    <definedName name="HIST">#REF!</definedName>
    <definedName name="HISTGRAPH" localSheetId="9">#REF!</definedName>
    <definedName name="HISTGRAPH" localSheetId="10">#REF!</definedName>
    <definedName name="HISTGRAPH" localSheetId="23">#REF!</definedName>
    <definedName name="HISTGRAPH" localSheetId="24">#REF!</definedName>
    <definedName name="HISTGRAPH" localSheetId="25">#REF!</definedName>
    <definedName name="HISTGRAPH">#REF!</definedName>
    <definedName name="HISTINPUTS" localSheetId="9">#REF!</definedName>
    <definedName name="HISTINPUTS" localSheetId="10">#REF!</definedName>
    <definedName name="HISTINPUTS" localSheetId="23">#REF!</definedName>
    <definedName name="HISTINPUTS" localSheetId="24">#REF!</definedName>
    <definedName name="HISTINPUTS" localSheetId="25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 localSheetId="9">[5]Inputs!#REF!</definedName>
    <definedName name="IDENTIFIER" localSheetId="10">[5]Inputs!#REF!</definedName>
    <definedName name="IDENTIFIER" localSheetId="23">[5]Inputs!#REF!</definedName>
    <definedName name="IDENTIFIER" localSheetId="24">[5]Inputs!#REF!</definedName>
    <definedName name="IDENTIFIER" localSheetId="25">[5]Inputs!#REF!</definedName>
    <definedName name="IDENTIFIER">[5]Inputs!#REF!</definedName>
    <definedName name="incl_data" localSheetId="9">#REF!</definedName>
    <definedName name="incl_data" localSheetId="10">#REF!</definedName>
    <definedName name="incl_data" localSheetId="23">#REF!</definedName>
    <definedName name="incl_data" localSheetId="24">#REF!</definedName>
    <definedName name="incl_data" localSheetId="25">#REF!</definedName>
    <definedName name="incl_data">#REF!</definedName>
    <definedName name="industrial" localSheetId="9">[25]TRANSACTION!#REF!</definedName>
    <definedName name="industrial" localSheetId="10">[25]TRANSACTION!#REF!</definedName>
    <definedName name="industrial" localSheetId="23">[25]TRANSACTION!#REF!</definedName>
    <definedName name="industrial" localSheetId="24">[25]TRANSACTION!#REF!</definedName>
    <definedName name="industrial" localSheetId="25">[25]TRANSACTION!#REF!</definedName>
    <definedName name="industrial">[25]TRANSACTION!#REF!</definedName>
    <definedName name="inflation">'[17]Cost Savings Detail'!$F$143</definedName>
    <definedName name="inflator" localSheetId="9">#REF!</definedName>
    <definedName name="inflator" localSheetId="10">#REF!</definedName>
    <definedName name="inflator" localSheetId="23">#REF!</definedName>
    <definedName name="inflator" localSheetId="24">#REF!</definedName>
    <definedName name="inflator" localSheetId="25">#REF!</definedName>
    <definedName name="inflator">#REF!</definedName>
    <definedName name="INPUTS" localSheetId="9">#REF!</definedName>
    <definedName name="INPUTS" localSheetId="10">#REF!</definedName>
    <definedName name="INPUTS" localSheetId="23">#REF!</definedName>
    <definedName name="INPUTS" localSheetId="24">#REF!</definedName>
    <definedName name="INPUTS" localSheetId="25">#REF!</definedName>
    <definedName name="INPUTS">#REF!</definedName>
    <definedName name="INT" localSheetId="9">[28]Schedules!#REF!</definedName>
    <definedName name="INT" localSheetId="10">[28]Schedules!#REF!</definedName>
    <definedName name="INT" localSheetId="23">[28]Schedules!#REF!</definedName>
    <definedName name="INT" localSheetId="24">[28]Schedules!#REF!</definedName>
    <definedName name="INT" localSheetId="25">[28]Schedules!#REF!</definedName>
    <definedName name="INT">[28]Schedules!#REF!</definedName>
    <definedName name="interco" localSheetId="9">[25]TRANSACTION!#REF!</definedName>
    <definedName name="interco" localSheetId="10">[25]TRANSACTION!#REF!</definedName>
    <definedName name="interco" localSheetId="23">[25]TRANSACTION!#REF!</definedName>
    <definedName name="interco" localSheetId="24">[25]TRANSACTION!#REF!</definedName>
    <definedName name="interco" localSheetId="25">[25]TRANSACTION!#REF!</definedName>
    <definedName name="interco">[25]TRANSACTION!#REF!</definedName>
    <definedName name="Intref">'[31]LBO FINS'!$E$216</definedName>
    <definedName name="Intsub">'[31]LBO Analysis'!$J$10</definedName>
    <definedName name="ipocase">[17]Model!$D$41</definedName>
    <definedName name="ipoyear">[17]Model!$D$49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 localSheetId="9">#REF!</definedName>
    <definedName name="irrtarget" localSheetId="10">#REF!</definedName>
    <definedName name="irrtarget" localSheetId="23">#REF!</definedName>
    <definedName name="irrtarget" localSheetId="24">#REF!</definedName>
    <definedName name="irrtarget" localSheetId="25">#REF!</definedName>
    <definedName name="irrtarget">#REF!</definedName>
    <definedName name="IS" localSheetId="9">#REF!</definedName>
    <definedName name="IS" localSheetId="10">#REF!</definedName>
    <definedName name="IS" localSheetId="23">#REF!</definedName>
    <definedName name="IS" localSheetId="24">#REF!</definedName>
    <definedName name="IS" localSheetId="25">#REF!</definedName>
    <definedName name="IS">#REF!</definedName>
    <definedName name="isisval" localSheetId="9">#REF!</definedName>
    <definedName name="isisval" localSheetId="10">#REF!</definedName>
    <definedName name="isisval" localSheetId="23">#REF!</definedName>
    <definedName name="isisval" localSheetId="24">#REF!</definedName>
    <definedName name="isisval" localSheetId="25">#REF!</definedName>
    <definedName name="isisval">#REF!</definedName>
    <definedName name="ISS_OFF_LINE1" localSheetId="9">#REF!</definedName>
    <definedName name="ISS_OFF_LINE1" localSheetId="10">#REF!</definedName>
    <definedName name="ISS_OFF_LINE1" localSheetId="23">#REF!</definedName>
    <definedName name="ISS_OFF_LINE1" localSheetId="24">#REF!</definedName>
    <definedName name="ISS_OFF_LINE1" localSheetId="25">#REF!</definedName>
    <definedName name="ISS_OFF_LINE1">#REF!</definedName>
    <definedName name="ISS_OFF_LOOP" localSheetId="9">#REF!</definedName>
    <definedName name="ISS_OFF_LOOP" localSheetId="10">#REF!</definedName>
    <definedName name="ISS_OFF_LOOP" localSheetId="23">#REF!</definedName>
    <definedName name="ISS_OFF_LOOP" localSheetId="24">#REF!</definedName>
    <definedName name="ISS_OFF_LOOP" localSheetId="25">#REF!</definedName>
    <definedName name="ISS_OFF_LOOP">#REF!</definedName>
    <definedName name="ISS_OFF_RANGE" localSheetId="9">#REF!</definedName>
    <definedName name="ISS_OFF_RANGE" localSheetId="10">#REF!</definedName>
    <definedName name="ISS_OFF_RANGE" localSheetId="23">#REF!</definedName>
    <definedName name="ISS_OFF_RANGE" localSheetId="24">#REF!</definedName>
    <definedName name="ISS_OFF_RANGE" localSheetId="25">#REF!</definedName>
    <definedName name="ISS_OFF_RANGE">#REF!</definedName>
    <definedName name="ISS_OFF_RESULTS" localSheetId="9">#REF!</definedName>
    <definedName name="ISS_OFF_RESULTS" localSheetId="10">#REF!</definedName>
    <definedName name="ISS_OFF_RESULTS" localSheetId="23">#REF!</definedName>
    <definedName name="ISS_OFF_RESULTS" localSheetId="24">#REF!</definedName>
    <definedName name="ISS_OFF_RESULTS" localSheetId="25">#REF!</definedName>
    <definedName name="ISS_OFF_RESULTS">#REF!</definedName>
    <definedName name="ISS_OFF_RUN" localSheetId="9">#REF!</definedName>
    <definedName name="ISS_OFF_RUN" localSheetId="10">#REF!</definedName>
    <definedName name="ISS_OFF_RUN" localSheetId="23">#REF!</definedName>
    <definedName name="ISS_OFF_RUN" localSheetId="24">#REF!</definedName>
    <definedName name="ISS_OFF_RUN" localSheetId="25">#REF!</definedName>
    <definedName name="ISS_OFF_RUN">#REF!</definedName>
    <definedName name="JJJ" localSheetId="9">#REF!</definedName>
    <definedName name="JJJ" localSheetId="10">#REF!</definedName>
    <definedName name="JJJ" localSheetId="23">#REF!</definedName>
    <definedName name="JJJ" localSheetId="24">#REF!</definedName>
    <definedName name="JJJ" localSheetId="25">#REF!</definedName>
    <definedName name="JJJ">#REF!</definedName>
    <definedName name="JJJJ" localSheetId="9">#REF!</definedName>
    <definedName name="JJJJ" localSheetId="10">#REF!</definedName>
    <definedName name="JJJJ" localSheetId="23">#REF!</definedName>
    <definedName name="JJJJ" localSheetId="24">#REF!</definedName>
    <definedName name="JJJJ" localSheetId="25">#REF!</definedName>
    <definedName name="JJJJ">#REF!</definedName>
    <definedName name="JOE" localSheetId="9">#REF!</definedName>
    <definedName name="JOE" localSheetId="10">#REF!</definedName>
    <definedName name="JOE" localSheetId="23">#REF!</definedName>
    <definedName name="JOE" localSheetId="24">#REF!</definedName>
    <definedName name="JOE" localSheetId="25">#REF!</definedName>
    <definedName name="JOE">#REF!</definedName>
    <definedName name="JRM_Inis">'[9]JRM Model'!$A$191</definedName>
    <definedName name="jv" localSheetId="9">#REF!</definedName>
    <definedName name="jv" localSheetId="10">#REF!</definedName>
    <definedName name="jv" localSheetId="23">#REF!</definedName>
    <definedName name="jv" localSheetId="24">#REF!</definedName>
    <definedName name="jv" localSheetId="25">#REF!</definedName>
    <definedName name="jv">#REF!</definedName>
    <definedName name="k" localSheetId="9">#REF!</definedName>
    <definedName name="k" localSheetId="10">#REF!</definedName>
    <definedName name="k" localSheetId="23">#REF!</definedName>
    <definedName name="k" localSheetId="24">#REF!</definedName>
    <definedName name="k" localSheetId="25">#REF!</definedName>
    <definedName name="k">#REF!</definedName>
    <definedName name="KDATE" localSheetId="9">#REF!</definedName>
    <definedName name="KDATE" localSheetId="10">#REF!</definedName>
    <definedName name="KDATE" localSheetId="23">#REF!</definedName>
    <definedName name="KDATE" localSheetId="24">#REF!</definedName>
    <definedName name="KDATE" localSheetId="25">#REF!</definedName>
    <definedName name="KDATE">#REF!</definedName>
    <definedName name="KKR_Deal_Fee">[14]Triggers!$E$23</definedName>
    <definedName name="lbo">[12]LBOSourceUse!$D$7</definedName>
    <definedName name="LBO_MODEL">[37]TRANS!$D$10</definedName>
    <definedName name="LBO_PR1" localSheetId="9">#REF!</definedName>
    <definedName name="LBO_PR1" localSheetId="10">#REF!</definedName>
    <definedName name="LBO_PR1" localSheetId="23">#REF!</definedName>
    <definedName name="LBO_PR1" localSheetId="24">#REF!</definedName>
    <definedName name="LBO_PR1" localSheetId="25">#REF!</definedName>
    <definedName name="LBO_PR1">#REF!</definedName>
    <definedName name="LBO_PR2" localSheetId="9">#REF!</definedName>
    <definedName name="LBO_PR2" localSheetId="10">#REF!</definedName>
    <definedName name="LBO_PR2" localSheetId="23">#REF!</definedName>
    <definedName name="LBO_PR2" localSheetId="24">#REF!</definedName>
    <definedName name="LBO_PR2" localSheetId="25">#REF!</definedName>
    <definedName name="LBO_PR2">#REF!</definedName>
    <definedName name="LBO_PR4" localSheetId="9">#REF!</definedName>
    <definedName name="LBO_PR4" localSheetId="10">#REF!</definedName>
    <definedName name="LBO_PR4" localSheetId="23">#REF!</definedName>
    <definedName name="LBO_PR4" localSheetId="24">#REF!</definedName>
    <definedName name="LBO_PR4" localSheetId="25">#REF!</definedName>
    <definedName name="LBO_PR4">#REF!</definedName>
    <definedName name="LBO_PR5" localSheetId="9">#REF!</definedName>
    <definedName name="LBO_PR5" localSheetId="10">#REF!</definedName>
    <definedName name="LBO_PR5" localSheetId="23">#REF!</definedName>
    <definedName name="LBO_PR5" localSheetId="24">#REF!</definedName>
    <definedName name="LBO_PR5" localSheetId="25">#REF!</definedName>
    <definedName name="LBO_PR5">#REF!</definedName>
    <definedName name="LBO_PRICE" localSheetId="9">'[6]Trans Assump'!#REF!</definedName>
    <definedName name="LBO_PRICE" localSheetId="10">'[6]Trans Assump'!#REF!</definedName>
    <definedName name="LBO_PRICE" localSheetId="23">'[6]Trans Assump'!#REF!</definedName>
    <definedName name="LBO_PRICE" localSheetId="24">'[6]Trans Assump'!#REF!</definedName>
    <definedName name="LBO_PRICE" localSheetId="25">'[6]Trans Assump'!#REF!</definedName>
    <definedName name="LBO_PRICE">'[6]Trans Assump'!#REF!</definedName>
    <definedName name="LBO_SENS_STATS" localSheetId="9">#REF!</definedName>
    <definedName name="LBO_SENS_STATS" localSheetId="10">#REF!</definedName>
    <definedName name="LBO_SENS_STATS" localSheetId="23">#REF!</definedName>
    <definedName name="LBO_SENS_STATS" localSheetId="24">#REF!</definedName>
    <definedName name="LBO_SENS_STATS" localSheetId="25">#REF!</definedName>
    <definedName name="LBO_SENS_STATS">#REF!</definedName>
    <definedName name="LBO_SENS1" localSheetId="9">#REF!</definedName>
    <definedName name="LBO_SENS1" localSheetId="10">#REF!</definedName>
    <definedName name="LBO_SENS1" localSheetId="23">#REF!</definedName>
    <definedName name="LBO_SENS1" localSheetId="24">#REF!</definedName>
    <definedName name="LBO_SENS1" localSheetId="25">#REF!</definedName>
    <definedName name="LBO_SENS1">#REF!</definedName>
    <definedName name="LBO_SENS2" localSheetId="9">#REF!</definedName>
    <definedName name="LBO_SENS2" localSheetId="10">#REF!</definedName>
    <definedName name="LBO_SENS2" localSheetId="23">#REF!</definedName>
    <definedName name="LBO_SENS2" localSheetId="24">#REF!</definedName>
    <definedName name="LBO_SENS2" localSheetId="25">#REF!</definedName>
    <definedName name="LBO_SENS2">#REF!</definedName>
    <definedName name="LBO_SENS4" localSheetId="9">#REF!</definedName>
    <definedName name="LBO_SENS4" localSheetId="10">#REF!</definedName>
    <definedName name="LBO_SENS4" localSheetId="23">#REF!</definedName>
    <definedName name="LBO_SENS4" localSheetId="24">#REF!</definedName>
    <definedName name="LBO_SENS4" localSheetId="25">#REF!</definedName>
    <definedName name="LBO_SENS4">#REF!</definedName>
    <definedName name="LBO_SENS5" localSheetId="9">#REF!</definedName>
    <definedName name="LBO_SENS5" localSheetId="10">#REF!</definedName>
    <definedName name="LBO_SENS5" localSheetId="23">#REF!</definedName>
    <definedName name="LBO_SENS5" localSheetId="24">#REF!</definedName>
    <definedName name="LBO_SENS5" localSheetId="25">#REF!</definedName>
    <definedName name="LBO_SENS5">#REF!</definedName>
    <definedName name="lbofirm" localSheetId="9">#REF!</definedName>
    <definedName name="lbofirm" localSheetId="10">#REF!</definedName>
    <definedName name="lbofirm" localSheetId="23">#REF!</definedName>
    <definedName name="lbofirm" localSheetId="24">#REF!</definedName>
    <definedName name="lbofirm" localSheetId="25">#REF!</definedName>
    <definedName name="lbofirm">#REF!</definedName>
    <definedName name="LBOSENS" localSheetId="9">#REF!</definedName>
    <definedName name="LBOSENS" localSheetId="10">#REF!</definedName>
    <definedName name="LBOSENS" localSheetId="23">#REF!</definedName>
    <definedName name="LBOSENS" localSheetId="24">#REF!</definedName>
    <definedName name="LBOSENS" localSheetId="25">#REF!</definedName>
    <definedName name="LBOSENS">#REF!</definedName>
    <definedName name="LBOSUM" localSheetId="9">#REF!</definedName>
    <definedName name="LBOSUM" localSheetId="10">#REF!</definedName>
    <definedName name="LBOSUM" localSheetId="23">#REF!</definedName>
    <definedName name="LBOSUM" localSheetId="24">#REF!</definedName>
    <definedName name="LBOSUM" localSheetId="25">#REF!</definedName>
    <definedName name="LBOSUM">#REF!</definedName>
    <definedName name="Lcash">[16]Inputs!$P$27</definedName>
    <definedName name="legend" localSheetId="9">#REF!</definedName>
    <definedName name="legend" localSheetId="10">#REF!</definedName>
    <definedName name="legend" localSheetId="23">#REF!</definedName>
    <definedName name="legend" localSheetId="24">#REF!</definedName>
    <definedName name="legend" localSheetId="25">#REF!</definedName>
    <definedName name="legend">#REF!</definedName>
    <definedName name="lev" localSheetId="9">#REF!</definedName>
    <definedName name="lev" localSheetId="10">#REF!</definedName>
    <definedName name="lev" localSheetId="23">#REF!</definedName>
    <definedName name="lev" localSheetId="24">#REF!</definedName>
    <definedName name="lev" localSheetId="25">#REF!</definedName>
    <definedName name="lev">#REF!</definedName>
    <definedName name="levstep" localSheetId="9">#REF!</definedName>
    <definedName name="levstep" localSheetId="10">#REF!</definedName>
    <definedName name="levstep" localSheetId="23">#REF!</definedName>
    <definedName name="levstep" localSheetId="24">#REF!</definedName>
    <definedName name="levstep" localSheetId="25">#REF!</definedName>
    <definedName name="levstep">#REF!</definedName>
    <definedName name="Lfdshares">[16]Inputs!$P$24</definedName>
    <definedName name="ListSheetsMacroButton" localSheetId="9">#REF!</definedName>
    <definedName name="ListSheetsMacroButton" localSheetId="10">#REF!</definedName>
    <definedName name="ListSheetsMacroButton" localSheetId="23">#REF!</definedName>
    <definedName name="ListSheetsMacroButton" localSheetId="24">#REF!</definedName>
    <definedName name="ListSheetsMacroButton" localSheetId="25">#REF!</definedName>
    <definedName name="ListSheetsMacroButton">#REF!</definedName>
    <definedName name="Lmin">[16]Inputs!$P$29</definedName>
    <definedName name="Long_Term_Debt">[1]Inputs!$B$8</definedName>
    <definedName name="LOOP" localSheetId="9">#REF!</definedName>
    <definedName name="LOOP" localSheetId="10">#REF!</definedName>
    <definedName name="LOOP" localSheetId="23">#REF!</definedName>
    <definedName name="LOOP" localSheetId="24">#REF!</definedName>
    <definedName name="LOOP" localSheetId="25">#REF!</definedName>
    <definedName name="LOOP">#REF!</definedName>
    <definedName name="Lpref">[16]Inputs!$P$30</definedName>
    <definedName name="LTM" localSheetId="9">#REF!</definedName>
    <definedName name="LTM" localSheetId="10">#REF!</definedName>
    <definedName name="LTM" localSheetId="23">#REF!</definedName>
    <definedName name="LTM" localSheetId="24">#REF!</definedName>
    <definedName name="LTM" localSheetId="25">#REF!</definedName>
    <definedName name="LTM">#REF!</definedName>
    <definedName name="LTM_EBITDA">[1]Inputs!$B$21</definedName>
    <definedName name="LTM_EBITDAR">[1]Inputs!$B$20</definedName>
    <definedName name="LTM_REVENUES">[1]Inputs!$B$19</definedName>
    <definedName name="Ltotdebt">[16]Inputs!$P$28</definedName>
    <definedName name="m_gen" localSheetId="9">[29]Lookups!#REF!</definedName>
    <definedName name="m_gen" localSheetId="10">[29]Lookups!#REF!</definedName>
    <definedName name="m_gen" localSheetId="23">[29]Lookups!#REF!</definedName>
    <definedName name="m_gen" localSheetId="24">[29]Lookups!#REF!</definedName>
    <definedName name="m_gen" localSheetId="25">[29]Lookups!#REF!</definedName>
    <definedName name="m_gen">[29]Lookups!#REF!</definedName>
    <definedName name="m_labor" localSheetId="9">[29]Lookups!#REF!</definedName>
    <definedName name="m_labor" localSheetId="10">[29]Lookups!#REF!</definedName>
    <definedName name="m_labor" localSheetId="23">[29]Lookups!#REF!</definedName>
    <definedName name="m_labor" localSheetId="24">[29]Lookups!#REF!</definedName>
    <definedName name="m_labor" localSheetId="25">[29]Lookups!#REF!</definedName>
    <definedName name="m_labor">[29]Lookups!#REF!</definedName>
    <definedName name="m_maniuf" localSheetId="9">[29]Lookups!#REF!</definedName>
    <definedName name="m_maniuf" localSheetId="10">[29]Lookups!#REF!</definedName>
    <definedName name="m_maniuf" localSheetId="23">[29]Lookups!#REF!</definedName>
    <definedName name="m_maniuf" localSheetId="24">[29]Lookups!#REF!</definedName>
    <definedName name="m_maniuf" localSheetId="25">[29]Lookups!#REF!</definedName>
    <definedName name="m_maniuf">[29]Lookups!#REF!</definedName>
    <definedName name="m_manuf" localSheetId="9">[29]Lookups!#REF!</definedName>
    <definedName name="m_manuf" localSheetId="10">[29]Lookups!#REF!</definedName>
    <definedName name="m_manuf" localSheetId="23">[29]Lookups!#REF!</definedName>
    <definedName name="m_manuf" localSheetId="24">[29]Lookups!#REF!</definedName>
    <definedName name="m_manuf" localSheetId="25">[29]Lookups!#REF!</definedName>
    <definedName name="m_manuf">[29]Lookups!#REF!</definedName>
    <definedName name="m_mat" localSheetId="9">[29]Lookups!#REF!</definedName>
    <definedName name="m_mat" localSheetId="10">[29]Lookups!#REF!</definedName>
    <definedName name="m_mat" localSheetId="23">[29]Lookups!#REF!</definedName>
    <definedName name="m_mat" localSheetId="24">[29]Lookups!#REF!</definedName>
    <definedName name="m_mat" localSheetId="25">[29]Lookups!#REF!</definedName>
    <definedName name="m_mat">[29]Lookups!#REF!</definedName>
    <definedName name="m_ohead" localSheetId="9">[29]Lookups!#REF!</definedName>
    <definedName name="m_ohead" localSheetId="10">[29]Lookups!#REF!</definedName>
    <definedName name="m_ohead" localSheetId="23">[29]Lookups!#REF!</definedName>
    <definedName name="m_ohead" localSheetId="24">[29]Lookups!#REF!</definedName>
    <definedName name="m_ohead" localSheetId="25">[29]Lookups!#REF!</definedName>
    <definedName name="m_ohead">[29]Lookups!#REF!</definedName>
    <definedName name="m_sell" localSheetId="9">[29]Lookups!#REF!</definedName>
    <definedName name="m_sell" localSheetId="10">[29]Lookups!#REF!</definedName>
    <definedName name="m_sell" localSheetId="23">[29]Lookups!#REF!</definedName>
    <definedName name="m_sell" localSheetId="24">[29]Lookups!#REF!</definedName>
    <definedName name="m_sell" localSheetId="25">[29]Lookups!#REF!</definedName>
    <definedName name="m_sell">[29]Lookups!#REF!</definedName>
    <definedName name="m_var" localSheetId="9">[29]Lookups!#REF!</definedName>
    <definedName name="m_var" localSheetId="10">[29]Lookups!#REF!</definedName>
    <definedName name="m_var" localSheetId="23">[29]Lookups!#REF!</definedName>
    <definedName name="m_var" localSheetId="24">[29]Lookups!#REF!</definedName>
    <definedName name="m_var" localSheetId="25">[29]Lookups!#REF!</definedName>
    <definedName name="m_var">[29]Lookups!#REF!</definedName>
    <definedName name="Macro4">[38]!Macro4</definedName>
    <definedName name="mapping">[39]mapping!$A$2:$H$1143</definedName>
    <definedName name="margin">[17]Model!$AA$180</definedName>
    <definedName name="Market_Equity" localSheetId="9">#REF!</definedName>
    <definedName name="Market_Equity" localSheetId="10">#REF!</definedName>
    <definedName name="Market_Equity" localSheetId="23">#REF!</definedName>
    <definedName name="Market_Equity" localSheetId="24">#REF!</definedName>
    <definedName name="Market_Equity" localSheetId="25">#REF!</definedName>
    <definedName name="Market_Equity">#REF!</definedName>
    <definedName name="master">[40]conrol!$B$11</definedName>
    <definedName name="MATRIX" localSheetId="9">#REF!</definedName>
    <definedName name="MATRIX" localSheetId="10">#REF!</definedName>
    <definedName name="MATRIX" localSheetId="23">#REF!</definedName>
    <definedName name="MATRIX" localSheetId="24">#REF!</definedName>
    <definedName name="MATRIX" localSheetId="25">#REF!</definedName>
    <definedName name="MATRIX">#REF!</definedName>
    <definedName name="Mean_s_Table" localSheetId="9">#REF!</definedName>
    <definedName name="Mean_s_Table" localSheetId="10">#REF!</definedName>
    <definedName name="Mean_s_Table" localSheetId="23">#REF!</definedName>
    <definedName name="Mean_s_Table" localSheetId="24">#REF!</definedName>
    <definedName name="Mean_s_Table" localSheetId="25">#REF!</definedName>
    <definedName name="Mean_s_Table">#REF!</definedName>
    <definedName name="MEWarning" hidden="1">1</definedName>
    <definedName name="mezzcoupon" localSheetId="9">#REF!</definedName>
    <definedName name="mezzcoupon" localSheetId="10">#REF!</definedName>
    <definedName name="mezzcoupon" localSheetId="23">#REF!</definedName>
    <definedName name="mezzcoupon" localSheetId="24">#REF!</definedName>
    <definedName name="mezzcoupon" localSheetId="25">#REF!</definedName>
    <definedName name="mezzcoupon">#REF!</definedName>
    <definedName name="MGMT" localSheetId="9">[13]Fin_Assumptions!#REF!</definedName>
    <definedName name="MGMT" localSheetId="10">[13]Fin_Assumptions!#REF!</definedName>
    <definedName name="MGMT" localSheetId="23">[13]Fin_Assumptions!#REF!</definedName>
    <definedName name="MGMT" localSheetId="24">[13]Fin_Assumptions!#REF!</definedName>
    <definedName name="MGMT" localSheetId="25">[13]Fin_Assumptions!#REF!</definedName>
    <definedName name="MGMT">[13]Fin_Assumptions!#REF!</definedName>
    <definedName name="midyear" localSheetId="9">#REF!</definedName>
    <definedName name="midyear" localSheetId="10">#REF!</definedName>
    <definedName name="midyear" localSheetId="23">#REF!</definedName>
    <definedName name="midyear" localSheetId="24">#REF!</definedName>
    <definedName name="midyear" localSheetId="25">#REF!</definedName>
    <definedName name="midyear">#REF!</definedName>
    <definedName name="Mill">[7]MODEL!$L$22</definedName>
    <definedName name="Minumum_Cash" localSheetId="9">#REF!</definedName>
    <definedName name="Minumum_Cash" localSheetId="10">#REF!</definedName>
    <definedName name="Minumum_Cash" localSheetId="23">#REF!</definedName>
    <definedName name="Minumum_Cash" localSheetId="24">#REF!</definedName>
    <definedName name="Minumum_Cash" localSheetId="25">#REF!</definedName>
    <definedName name="Minumum_Cash">#REF!</definedName>
    <definedName name="MKT_TEMP_DIR" localSheetId="9">[5]Inputs!#REF!</definedName>
    <definedName name="MKT_TEMP_DIR" localSheetId="10">[5]Inputs!#REF!</definedName>
    <definedName name="MKT_TEMP_DIR" localSheetId="23">[5]Inputs!#REF!</definedName>
    <definedName name="MKT_TEMP_DIR" localSheetId="24">[5]Inputs!#REF!</definedName>
    <definedName name="MKT_TEMP_DIR" localSheetId="25">[5]Inputs!#REF!</definedName>
    <definedName name="MKT_TEMP_DIR">[5]Inputs!#REF!</definedName>
    <definedName name="MKT_TEMP_FNAME" localSheetId="9">[5]Inputs!#REF!</definedName>
    <definedName name="MKT_TEMP_FNAME" localSheetId="10">[5]Inputs!#REF!</definedName>
    <definedName name="MKT_TEMP_FNAME" localSheetId="23">[5]Inputs!#REF!</definedName>
    <definedName name="MKT_TEMP_FNAME" localSheetId="24">[5]Inputs!#REF!</definedName>
    <definedName name="MKT_TEMP_FNAME" localSheetId="25">[5]Inputs!#REF!</definedName>
    <definedName name="MKT_TEMP_FNAME">[5]Inputs!#REF!</definedName>
    <definedName name="MNTH2MO" localSheetId="9">#REF!</definedName>
    <definedName name="MNTH2MO" localSheetId="10">#REF!</definedName>
    <definedName name="MNTH2MO" localSheetId="23">#REF!</definedName>
    <definedName name="MNTH2MO" localSheetId="24">#REF!</definedName>
    <definedName name="MNTH2MO" localSheetId="25">#REF!</definedName>
    <definedName name="MNTH2MO">#REF!</definedName>
    <definedName name="MNTH2QTR" localSheetId="9">#REF!</definedName>
    <definedName name="MNTH2QTR" localSheetId="10">#REF!</definedName>
    <definedName name="MNTH2QTR" localSheetId="23">#REF!</definedName>
    <definedName name="MNTH2QTR" localSheetId="24">#REF!</definedName>
    <definedName name="MNTH2QTR" localSheetId="25">#REF!</definedName>
    <definedName name="MNTH2QTR">#REF!</definedName>
    <definedName name="mnth3mo" localSheetId="9">#REF!</definedName>
    <definedName name="mnth3mo" localSheetId="10">#REF!</definedName>
    <definedName name="mnth3mo" localSheetId="23">#REF!</definedName>
    <definedName name="mnth3mo" localSheetId="24">#REF!</definedName>
    <definedName name="mnth3mo" localSheetId="25">#REF!</definedName>
    <definedName name="mnth3mo">#REF!</definedName>
    <definedName name="mnth3qtr" localSheetId="9">#REF!</definedName>
    <definedName name="mnth3qtr" localSheetId="10">#REF!</definedName>
    <definedName name="mnth3qtr" localSheetId="23">#REF!</definedName>
    <definedName name="mnth3qtr" localSheetId="24">#REF!</definedName>
    <definedName name="mnth3qtr" localSheetId="25">#REF!</definedName>
    <definedName name="mnth3qtr">#REF!</definedName>
    <definedName name="MODEL_TYPE">[37]TRANS!$D$14</definedName>
    <definedName name="MODULE" localSheetId="9">#REF!</definedName>
    <definedName name="MODULE" localSheetId="10">#REF!</definedName>
    <definedName name="MODULE" localSheetId="23">#REF!</definedName>
    <definedName name="MODULE" localSheetId="24">#REF!</definedName>
    <definedName name="MODULE" localSheetId="25">#REF!</definedName>
    <definedName name="MODULE">#REF!</definedName>
    <definedName name="MODULE1" localSheetId="9">#REF!</definedName>
    <definedName name="MODULE1" localSheetId="10">#REF!</definedName>
    <definedName name="MODULE1" localSheetId="23">#REF!</definedName>
    <definedName name="MODULE1" localSheetId="24">#REF!</definedName>
    <definedName name="MODULE1" localSheetId="25">#REF!</definedName>
    <definedName name="MODULE1">#REF!</definedName>
    <definedName name="MODULE2" localSheetId="9">#REF!</definedName>
    <definedName name="MODULE2" localSheetId="10">#REF!</definedName>
    <definedName name="MODULE2" localSheetId="23">#REF!</definedName>
    <definedName name="MODULE2" localSheetId="24">#REF!</definedName>
    <definedName name="MODULE2" localSheetId="25">#REF!</definedName>
    <definedName name="MODULE2">#REF!</definedName>
    <definedName name="MODULE3" localSheetId="9">#REF!</definedName>
    <definedName name="MODULE3" localSheetId="10">#REF!</definedName>
    <definedName name="MODULE3" localSheetId="23">#REF!</definedName>
    <definedName name="MODULE3" localSheetId="24">#REF!</definedName>
    <definedName name="MODULE3" localSheetId="25">#REF!</definedName>
    <definedName name="MODULE3">#REF!</definedName>
    <definedName name="MODULE4" localSheetId="9">#REF!</definedName>
    <definedName name="MODULE4" localSheetId="10">#REF!</definedName>
    <definedName name="MODULE4" localSheetId="23">#REF!</definedName>
    <definedName name="MODULE4" localSheetId="24">#REF!</definedName>
    <definedName name="MODULE4" localSheetId="25">#REF!</definedName>
    <definedName name="MODULE4">#REF!</definedName>
    <definedName name="MODULE5" localSheetId="9">#REF!</definedName>
    <definedName name="MODULE5" localSheetId="10">#REF!</definedName>
    <definedName name="MODULE5" localSheetId="23">#REF!</definedName>
    <definedName name="MODULE5" localSheetId="24">#REF!</definedName>
    <definedName name="MODULE5" localSheetId="25">#REF!</definedName>
    <definedName name="MODULE5">#REF!</definedName>
    <definedName name="MODULE6" localSheetId="9">#REF!</definedName>
    <definedName name="MODULE6" localSheetId="10">#REF!</definedName>
    <definedName name="MODULE6" localSheetId="23">#REF!</definedName>
    <definedName name="MODULE6" localSheetId="24">#REF!</definedName>
    <definedName name="MODULE6" localSheetId="25">#REF!</definedName>
    <definedName name="MODULE6">#REF!</definedName>
    <definedName name="Month_to_MONTHNUM" localSheetId="9">#REF!</definedName>
    <definedName name="Month_to_MONTHNUM" localSheetId="10">#REF!</definedName>
    <definedName name="Month_to_MONTHNUM" localSheetId="23">#REF!</definedName>
    <definedName name="Month_to_MONTHNUM" localSheetId="24">#REF!</definedName>
    <definedName name="Month_to_MONTHNUM" localSheetId="25">#REF!</definedName>
    <definedName name="Month_to_MONTHNUM">#REF!</definedName>
    <definedName name="MSTemporarySelectionAverage" localSheetId="9">[6]Timex!#REF!</definedName>
    <definedName name="MSTemporarySelectionAverage" localSheetId="10">[6]Timex!#REF!</definedName>
    <definedName name="MSTemporarySelectionAverage" localSheetId="23">[6]Timex!#REF!</definedName>
    <definedName name="MSTemporarySelectionAverage" localSheetId="24">[6]Timex!#REF!</definedName>
    <definedName name="MSTemporarySelectionAverage" localSheetId="25">[6]Timex!#REF!</definedName>
    <definedName name="MSTemporarySelectionAverage">[6]Timex!#REF!</definedName>
    <definedName name="MULT_CHOICE" localSheetId="9">'[6]Trans Assump'!#REF!</definedName>
    <definedName name="MULT_CHOICE" localSheetId="10">'[6]Trans Assump'!#REF!</definedName>
    <definedName name="MULT_CHOICE" localSheetId="23">'[6]Trans Assump'!#REF!</definedName>
    <definedName name="MULT_CHOICE" localSheetId="24">'[6]Trans Assump'!#REF!</definedName>
    <definedName name="MULT_CHOICE" localSheetId="25">'[6]Trans Assump'!#REF!</definedName>
    <definedName name="MULT_CHOICE">'[6]Trans Assump'!#REF!</definedName>
    <definedName name="MULT_CLOOP1" localSheetId="9">#REF!</definedName>
    <definedName name="MULT_CLOOP1" localSheetId="10">#REF!</definedName>
    <definedName name="MULT_CLOOP1" localSheetId="23">#REF!</definedName>
    <definedName name="MULT_CLOOP1" localSheetId="24">#REF!</definedName>
    <definedName name="MULT_CLOOP1" localSheetId="25">#REF!</definedName>
    <definedName name="MULT_CLOOP1">#REF!</definedName>
    <definedName name="MULT_CLOOP2" localSheetId="9">#REF!</definedName>
    <definedName name="MULT_CLOOP2" localSheetId="10">#REF!</definedName>
    <definedName name="MULT_CLOOP2" localSheetId="23">#REF!</definedName>
    <definedName name="MULT_CLOOP2" localSheetId="24">#REF!</definedName>
    <definedName name="MULT_CLOOP2" localSheetId="25">#REF!</definedName>
    <definedName name="MULT_CLOOP2">#REF!</definedName>
    <definedName name="MULT_COMP_LINE1" localSheetId="9">#REF!</definedName>
    <definedName name="MULT_COMP_LINE1" localSheetId="10">#REF!</definedName>
    <definedName name="MULT_COMP_LINE1" localSheetId="23">#REF!</definedName>
    <definedName name="MULT_COMP_LINE1" localSheetId="24">#REF!</definedName>
    <definedName name="MULT_COMP_LINE1" localSheetId="25">#REF!</definedName>
    <definedName name="MULT_COMP_LINE1">#REF!</definedName>
    <definedName name="Mult_Comp_Page1" localSheetId="9">#REF!</definedName>
    <definedName name="Mult_Comp_Page1" localSheetId="10">#REF!</definedName>
    <definedName name="Mult_Comp_Page1" localSheetId="23">#REF!</definedName>
    <definedName name="Mult_Comp_Page1" localSheetId="24">#REF!</definedName>
    <definedName name="Mult_Comp_Page1" localSheetId="25">#REF!</definedName>
    <definedName name="Mult_Comp_Page1">#REF!</definedName>
    <definedName name="Mult_Comp_Page2" localSheetId="9">#REF!</definedName>
    <definedName name="Mult_Comp_Page2" localSheetId="10">#REF!</definedName>
    <definedName name="Mult_Comp_Page2" localSheetId="23">#REF!</definedName>
    <definedName name="Mult_Comp_Page2" localSheetId="24">#REF!</definedName>
    <definedName name="Mult_Comp_Page2" localSheetId="25">#REF!</definedName>
    <definedName name="Mult_Comp_Page2">#REF!</definedName>
    <definedName name="Mult_Comp_Page3" localSheetId="9">#REF!</definedName>
    <definedName name="Mult_Comp_Page3" localSheetId="10">#REF!</definedName>
    <definedName name="Mult_Comp_Page3" localSheetId="23">#REF!</definedName>
    <definedName name="Mult_Comp_Page3" localSheetId="24">#REF!</definedName>
    <definedName name="Mult_Comp_Page3" localSheetId="25">#REF!</definedName>
    <definedName name="Mult_Comp_Page3">#REF!</definedName>
    <definedName name="MULT_COMP_RES" localSheetId="9">#REF!</definedName>
    <definedName name="MULT_COMP_RES" localSheetId="10">#REF!</definedName>
    <definedName name="MULT_COMP_RES" localSheetId="23">#REF!</definedName>
    <definedName name="MULT_COMP_RES" localSheetId="24">#REF!</definedName>
    <definedName name="MULT_COMP_RES" localSheetId="25">#REF!</definedName>
    <definedName name="MULT_COMP_RES">#REF!</definedName>
    <definedName name="MULT_COMP_SENSE" localSheetId="9">#REF!</definedName>
    <definedName name="MULT_COMP_SENSE" localSheetId="10">#REF!</definedName>
    <definedName name="MULT_COMP_SENSE" localSheetId="23">#REF!</definedName>
    <definedName name="MULT_COMP_SENSE" localSheetId="24">#REF!</definedName>
    <definedName name="MULT_COMP_SENSE" localSheetId="25">#REF!</definedName>
    <definedName name="MULT_COMP_SENSE">#REF!</definedName>
    <definedName name="Mult_Comp_Sense1" localSheetId="9">#REF!</definedName>
    <definedName name="Mult_Comp_Sense1" localSheetId="10">#REF!</definedName>
    <definedName name="Mult_Comp_Sense1" localSheetId="23">#REF!</definedName>
    <definedName name="Mult_Comp_Sense1" localSheetId="24">#REF!</definedName>
    <definedName name="Mult_Comp_Sense1" localSheetId="25">#REF!</definedName>
    <definedName name="Mult_Comp_Sense1">#REF!</definedName>
    <definedName name="Mult_Comp_Sense2" localSheetId="9">#REF!</definedName>
    <definedName name="Mult_Comp_Sense2" localSheetId="10">#REF!</definedName>
    <definedName name="Mult_Comp_Sense2" localSheetId="23">#REF!</definedName>
    <definedName name="Mult_Comp_Sense2" localSheetId="24">#REF!</definedName>
    <definedName name="Mult_Comp_Sense2" localSheetId="25">#REF!</definedName>
    <definedName name="Mult_Comp_Sense2">#REF!</definedName>
    <definedName name="Mult_Comp_Sense3" localSheetId="9">#REF!</definedName>
    <definedName name="Mult_Comp_Sense3" localSheetId="10">#REF!</definedName>
    <definedName name="Mult_Comp_Sense3" localSheetId="23">#REF!</definedName>
    <definedName name="Mult_Comp_Sense3" localSheetId="24">#REF!</definedName>
    <definedName name="Mult_Comp_Sense3" localSheetId="25">#REF!</definedName>
    <definedName name="Mult_Comp_Sense3">#REF!</definedName>
    <definedName name="Mult_Comp_Title1" localSheetId="9">#REF!</definedName>
    <definedName name="Mult_Comp_Title1" localSheetId="10">#REF!</definedName>
    <definedName name="Mult_Comp_Title1" localSheetId="23">#REF!</definedName>
    <definedName name="Mult_Comp_Title1" localSheetId="24">#REF!</definedName>
    <definedName name="Mult_Comp_Title1" localSheetId="25">#REF!</definedName>
    <definedName name="Mult_Comp_Title1">#REF!</definedName>
    <definedName name="Mult_Comp_Title2" localSheetId="9">#REF!</definedName>
    <definedName name="Mult_Comp_Title2" localSheetId="10">#REF!</definedName>
    <definedName name="Mult_Comp_Title2" localSheetId="23">#REF!</definedName>
    <definedName name="Mult_Comp_Title2" localSheetId="24">#REF!</definedName>
    <definedName name="Mult_Comp_Title2" localSheetId="25">#REF!</definedName>
    <definedName name="Mult_Comp_Title2">#REF!</definedName>
    <definedName name="Mult_Comp_Title3" localSheetId="9">#REF!</definedName>
    <definedName name="Mult_Comp_Title3" localSheetId="10">#REF!</definedName>
    <definedName name="Mult_Comp_Title3" localSheetId="23">#REF!</definedName>
    <definedName name="Mult_Comp_Title3" localSheetId="24">#REF!</definedName>
    <definedName name="Mult_Comp_Title3" localSheetId="25">#REF!</definedName>
    <definedName name="Mult_Comp_Title3">#REF!</definedName>
    <definedName name="Mult_Comp1" localSheetId="9">#REF!</definedName>
    <definedName name="Mult_Comp1" localSheetId="10">#REF!</definedName>
    <definedName name="Mult_Comp1" localSheetId="23">#REF!</definedName>
    <definedName name="Mult_Comp1" localSheetId="24">#REF!</definedName>
    <definedName name="Mult_Comp1" localSheetId="25">#REF!</definedName>
    <definedName name="Mult_Comp1">#REF!</definedName>
    <definedName name="Mult_Comp10" localSheetId="9">#REF!</definedName>
    <definedName name="Mult_Comp10" localSheetId="10">#REF!</definedName>
    <definedName name="Mult_Comp10" localSheetId="23">#REF!</definedName>
    <definedName name="Mult_Comp10" localSheetId="24">#REF!</definedName>
    <definedName name="Mult_Comp10" localSheetId="25">#REF!</definedName>
    <definedName name="Mult_Comp10">#REF!</definedName>
    <definedName name="Mult_Comp11" localSheetId="9">#REF!</definedName>
    <definedName name="Mult_Comp11" localSheetId="10">#REF!</definedName>
    <definedName name="Mult_Comp11" localSheetId="23">#REF!</definedName>
    <definedName name="Mult_Comp11" localSheetId="24">#REF!</definedName>
    <definedName name="Mult_Comp11" localSheetId="25">#REF!</definedName>
    <definedName name="Mult_Comp11">#REF!</definedName>
    <definedName name="Mult_Comp12" localSheetId="9">#REF!</definedName>
    <definedName name="Mult_Comp12" localSheetId="10">#REF!</definedName>
    <definedName name="Mult_Comp12" localSheetId="23">#REF!</definedName>
    <definedName name="Mult_Comp12" localSheetId="24">#REF!</definedName>
    <definedName name="Mult_Comp12" localSheetId="25">#REF!</definedName>
    <definedName name="Mult_Comp12">#REF!</definedName>
    <definedName name="Mult_Comp13" localSheetId="9">#REF!</definedName>
    <definedName name="Mult_Comp13" localSheetId="10">#REF!</definedName>
    <definedName name="Mult_Comp13" localSheetId="23">#REF!</definedName>
    <definedName name="Mult_Comp13" localSheetId="24">#REF!</definedName>
    <definedName name="Mult_Comp13" localSheetId="25">#REF!</definedName>
    <definedName name="Mult_Comp13">#REF!</definedName>
    <definedName name="Mult_Comp14" localSheetId="9">#REF!</definedName>
    <definedName name="Mult_Comp14" localSheetId="10">#REF!</definedName>
    <definedName name="Mult_Comp14" localSheetId="23">#REF!</definedName>
    <definedName name="Mult_Comp14" localSheetId="24">#REF!</definedName>
    <definedName name="Mult_Comp14" localSheetId="25">#REF!</definedName>
    <definedName name="Mult_Comp14">#REF!</definedName>
    <definedName name="Mult_Comp15" localSheetId="9">#REF!</definedName>
    <definedName name="Mult_Comp15" localSheetId="10">#REF!</definedName>
    <definedName name="Mult_Comp15" localSheetId="23">#REF!</definedName>
    <definedName name="Mult_Comp15" localSheetId="24">#REF!</definedName>
    <definedName name="Mult_Comp15" localSheetId="25">#REF!</definedName>
    <definedName name="Mult_Comp15">#REF!</definedName>
    <definedName name="Mult_Comp16" localSheetId="9">#REF!</definedName>
    <definedName name="Mult_Comp16" localSheetId="10">#REF!</definedName>
    <definedName name="Mult_Comp16" localSheetId="23">#REF!</definedName>
    <definedName name="Mult_Comp16" localSheetId="24">#REF!</definedName>
    <definedName name="Mult_Comp16" localSheetId="25">#REF!</definedName>
    <definedName name="Mult_Comp16">#REF!</definedName>
    <definedName name="Mult_Comp17" localSheetId="9">#REF!</definedName>
    <definedName name="Mult_Comp17" localSheetId="10">#REF!</definedName>
    <definedName name="Mult_Comp17" localSheetId="23">#REF!</definedName>
    <definedName name="Mult_Comp17" localSheetId="24">#REF!</definedName>
    <definedName name="Mult_Comp17" localSheetId="25">#REF!</definedName>
    <definedName name="Mult_Comp17">#REF!</definedName>
    <definedName name="Mult_Comp18" localSheetId="9">#REF!</definedName>
    <definedName name="Mult_Comp18" localSheetId="10">#REF!</definedName>
    <definedName name="Mult_Comp18" localSheetId="23">#REF!</definedName>
    <definedName name="Mult_Comp18" localSheetId="24">#REF!</definedName>
    <definedName name="Mult_Comp18" localSheetId="25">#REF!</definedName>
    <definedName name="Mult_Comp18">#REF!</definedName>
    <definedName name="Mult_Comp2" localSheetId="9">#REF!</definedName>
    <definedName name="Mult_Comp2" localSheetId="10">#REF!</definedName>
    <definedName name="Mult_Comp2" localSheetId="23">#REF!</definedName>
    <definedName name="Mult_Comp2" localSheetId="24">#REF!</definedName>
    <definedName name="Mult_Comp2" localSheetId="25">#REF!</definedName>
    <definedName name="Mult_Comp2">#REF!</definedName>
    <definedName name="Mult_Comp3" localSheetId="9">#REF!</definedName>
    <definedName name="Mult_Comp3" localSheetId="10">#REF!</definedName>
    <definedName name="Mult_Comp3" localSheetId="23">#REF!</definedName>
    <definedName name="Mult_Comp3" localSheetId="24">#REF!</definedName>
    <definedName name="Mult_Comp3" localSheetId="25">#REF!</definedName>
    <definedName name="Mult_Comp3">#REF!</definedName>
    <definedName name="Mult_Comp4" localSheetId="9">#REF!</definedName>
    <definedName name="Mult_Comp4" localSheetId="10">#REF!</definedName>
    <definedName name="Mult_Comp4" localSheetId="23">#REF!</definedName>
    <definedName name="Mult_Comp4" localSheetId="24">#REF!</definedName>
    <definedName name="Mult_Comp4" localSheetId="25">#REF!</definedName>
    <definedName name="Mult_Comp4">#REF!</definedName>
    <definedName name="Mult_Comp5" localSheetId="9">#REF!</definedName>
    <definedName name="Mult_Comp5" localSheetId="10">#REF!</definedName>
    <definedName name="Mult_Comp5" localSheetId="23">#REF!</definedName>
    <definedName name="Mult_Comp5" localSheetId="24">#REF!</definedName>
    <definedName name="Mult_Comp5" localSheetId="25">#REF!</definedName>
    <definedName name="Mult_Comp5">#REF!</definedName>
    <definedName name="Mult_Comp6" localSheetId="9">#REF!</definedName>
    <definedName name="Mult_Comp6" localSheetId="10">#REF!</definedName>
    <definedName name="Mult_Comp6" localSheetId="23">#REF!</definedName>
    <definedName name="Mult_Comp6" localSheetId="24">#REF!</definedName>
    <definedName name="Mult_Comp6" localSheetId="25">#REF!</definedName>
    <definedName name="Mult_Comp6">#REF!</definedName>
    <definedName name="Mult_Comp7" localSheetId="9">#REF!</definedName>
    <definedName name="Mult_Comp7" localSheetId="10">#REF!</definedName>
    <definedName name="Mult_Comp7" localSheetId="23">#REF!</definedName>
    <definedName name="Mult_Comp7" localSheetId="24">#REF!</definedName>
    <definedName name="Mult_Comp7" localSheetId="25">#REF!</definedName>
    <definedName name="Mult_Comp7">#REF!</definedName>
    <definedName name="Mult_Comp8" localSheetId="9">#REF!</definedName>
    <definedName name="Mult_Comp8" localSheetId="10">#REF!</definedName>
    <definedName name="Mult_Comp8" localSheetId="23">#REF!</definedName>
    <definedName name="Mult_Comp8" localSheetId="24">#REF!</definedName>
    <definedName name="Mult_Comp8" localSheetId="25">#REF!</definedName>
    <definedName name="Mult_Comp8">#REF!</definedName>
    <definedName name="Mult_Comp9" localSheetId="9">#REF!</definedName>
    <definedName name="Mult_Comp9" localSheetId="10">#REF!</definedName>
    <definedName name="Mult_Comp9" localSheetId="23">#REF!</definedName>
    <definedName name="Mult_Comp9" localSheetId="24">#REF!</definedName>
    <definedName name="Mult_Comp9" localSheetId="25">#REF!</definedName>
    <definedName name="Mult_Comp9">#REF!</definedName>
    <definedName name="N12M_EPS">[1]Inputs!$B$14</definedName>
    <definedName name="NAME">[41]INPUT!$A$13:$B$30</definedName>
    <definedName name="NAMES" localSheetId="9">[5]Inputs!#REF!</definedName>
    <definedName name="NAMES" localSheetId="10">[5]Inputs!#REF!</definedName>
    <definedName name="NAMES" localSheetId="23">[5]Inputs!#REF!</definedName>
    <definedName name="NAMES" localSheetId="24">[5]Inputs!#REF!</definedName>
    <definedName name="NAMES" localSheetId="25">[5]Inputs!#REF!</definedName>
    <definedName name="NAMES">[5]Inputs!#REF!</definedName>
    <definedName name="Net_Debt" localSheetId="9">#REF!</definedName>
    <definedName name="Net_Debt" localSheetId="10">#REF!</definedName>
    <definedName name="Net_Debt" localSheetId="23">#REF!</definedName>
    <definedName name="Net_Debt" localSheetId="24">#REF!</definedName>
    <definedName name="Net_Debt" localSheetId="25">#REF!</definedName>
    <definedName name="Net_Debt">#REF!</definedName>
    <definedName name="NEW_GW_LIFE" localSheetId="9">'[6]Trans Assump'!#REF!</definedName>
    <definedName name="NEW_GW_LIFE" localSheetId="10">'[6]Trans Assump'!#REF!</definedName>
    <definedName name="NEW_GW_LIFE" localSheetId="23">'[6]Trans Assump'!#REF!</definedName>
    <definedName name="NEW_GW_LIFE" localSheetId="24">'[6]Trans Assump'!#REF!</definedName>
    <definedName name="NEW_GW_LIFE" localSheetId="25">'[6]Trans Assump'!#REF!</definedName>
    <definedName name="NEW_GW_LIFE">'[6]Trans Assump'!#REF!</definedName>
    <definedName name="NEW_GW_TAX" localSheetId="9">'[6]Trans Assump'!#REF!</definedName>
    <definedName name="NEW_GW_TAX" localSheetId="10">'[6]Trans Assump'!#REF!</definedName>
    <definedName name="NEW_GW_TAX" localSheetId="23">'[6]Trans Assump'!#REF!</definedName>
    <definedName name="NEW_GW_TAX" localSheetId="24">'[6]Trans Assump'!#REF!</definedName>
    <definedName name="NEW_GW_TAX" localSheetId="25">'[6]Trans Assump'!#REF!</definedName>
    <definedName name="NEW_GW_TAX">'[6]Trans Assump'!#REF!</definedName>
    <definedName name="newcutoff">'[22]Summary History'!$C$3</definedName>
    <definedName name="newline" localSheetId="9">#REF!</definedName>
    <definedName name="newline" localSheetId="10">#REF!</definedName>
    <definedName name="newline" localSheetId="23">#REF!</definedName>
    <definedName name="newline" localSheetId="24">#REF!</definedName>
    <definedName name="newline" localSheetId="25">#REF!</definedName>
    <definedName name="newline">#REF!</definedName>
    <definedName name="newline2" localSheetId="9">#REF!</definedName>
    <definedName name="newline2" localSheetId="10">#REF!</definedName>
    <definedName name="newline2" localSheetId="23">#REF!</definedName>
    <definedName name="newline2" localSheetId="24">#REF!</definedName>
    <definedName name="newline2" localSheetId="25">#REF!</definedName>
    <definedName name="newline2">#REF!</definedName>
    <definedName name="nextvsthis" localSheetId="9">#REF!</definedName>
    <definedName name="nextvsthis" localSheetId="10">#REF!</definedName>
    <definedName name="nextvsthis" localSheetId="23">#REF!</definedName>
    <definedName name="nextvsthis" localSheetId="24">#REF!</definedName>
    <definedName name="nextvsthis" localSheetId="25">#REF!</definedName>
    <definedName name="nextvsthis">#REF!</definedName>
    <definedName name="nol" localSheetId="9">[13]Fin_Assumptions!#REF!</definedName>
    <definedName name="nol" localSheetId="10">[13]Fin_Assumptions!#REF!</definedName>
    <definedName name="nol" localSheetId="23">[13]Fin_Assumptions!#REF!</definedName>
    <definedName name="nol" localSheetId="24">[13]Fin_Assumptions!#REF!</definedName>
    <definedName name="nol" localSheetId="25">[13]Fin_Assumptions!#REF!</definedName>
    <definedName name="nol">[13]Fin_Assumptions!#REF!</definedName>
    <definedName name="nol?" localSheetId="9">[27]Transaction!#REF!</definedName>
    <definedName name="nol?" localSheetId="10">[27]Transaction!#REF!</definedName>
    <definedName name="nol?" localSheetId="23">[27]Transaction!#REF!</definedName>
    <definedName name="nol?" localSheetId="24">[27]Transaction!#REF!</definedName>
    <definedName name="nol?" localSheetId="25">[27]Transaction!#REF!</definedName>
    <definedName name="nol?">[27]Transaction!#REF!</definedName>
    <definedName name="note" localSheetId="9">[25]TRANSACTION!#REF!</definedName>
    <definedName name="note" localSheetId="10">[25]TRANSACTION!#REF!</definedName>
    <definedName name="note" localSheetId="23">[25]TRANSACTION!#REF!</definedName>
    <definedName name="note" localSheetId="24">[25]TRANSACTION!#REF!</definedName>
    <definedName name="note" localSheetId="25">[25]TRANSACTION!#REF!</definedName>
    <definedName name="note">[25]TRANSACTION!#REF!</definedName>
    <definedName name="novjv" localSheetId="9">#REF!</definedName>
    <definedName name="novjv" localSheetId="10">#REF!</definedName>
    <definedName name="novjv" localSheetId="23">#REF!</definedName>
    <definedName name="novjv" localSheetId="24">#REF!</definedName>
    <definedName name="novjv" localSheetId="25">#REF!</definedName>
    <definedName name="novjv">#REF!</definedName>
    <definedName name="NUMERICLABEL">[13]RangeName!$E$9</definedName>
    <definedName name="NumQtrs" localSheetId="9">#REF!</definedName>
    <definedName name="NumQtrs" localSheetId="10">#REF!</definedName>
    <definedName name="NumQtrs" localSheetId="23">#REF!</definedName>
    <definedName name="NumQtrs" localSheetId="24">#REF!</definedName>
    <definedName name="NumQtrs" localSheetId="25">#REF!</definedName>
    <definedName name="NumQtrs">#REF!</definedName>
    <definedName name="offer">'[12]Sources &amp; Uses'!$D$7</definedName>
    <definedName name="OFFER_PRICE">[5]Transinputs!$U$7</definedName>
    <definedName name="OLDGW" localSheetId="9">[5]Target!#REF!</definedName>
    <definedName name="OLDGW" localSheetId="10">[5]Target!#REF!</definedName>
    <definedName name="OLDGW" localSheetId="23">[5]Target!#REF!</definedName>
    <definedName name="OLDGW" localSheetId="24">[5]Target!#REF!</definedName>
    <definedName name="OLDGW" localSheetId="25">[5]Target!#REF!</definedName>
    <definedName name="OLDGW">[5]Target!#REF!</definedName>
    <definedName name="opcase" localSheetId="9">#REF!</definedName>
    <definedName name="opcase" localSheetId="10">#REF!</definedName>
    <definedName name="opcase" localSheetId="23">#REF!</definedName>
    <definedName name="opcase" localSheetId="24">#REF!</definedName>
    <definedName name="opcase" localSheetId="25">#REF!</definedName>
    <definedName name="opcase">#REF!</definedName>
    <definedName name="OPT_PROC" localSheetId="9">#REF!</definedName>
    <definedName name="OPT_PROC" localSheetId="10">#REF!</definedName>
    <definedName name="OPT_PROC" localSheetId="23">#REF!</definedName>
    <definedName name="OPT_PROC" localSheetId="24">#REF!</definedName>
    <definedName name="OPT_PROC" localSheetId="25">#REF!</definedName>
    <definedName name="OPT_PROC">#REF!</definedName>
    <definedName name="Options" localSheetId="9">#REF!</definedName>
    <definedName name="Options" localSheetId="10">#REF!</definedName>
    <definedName name="Options" localSheetId="23">#REF!</definedName>
    <definedName name="Options" localSheetId="24">#REF!</definedName>
    <definedName name="Options" localSheetId="25">#REF!</definedName>
    <definedName name="Options">#REF!</definedName>
    <definedName name="OTA" localSheetId="9">#REF!</definedName>
    <definedName name="OTA" localSheetId="10">#REF!</definedName>
    <definedName name="OTA" localSheetId="23">#REF!</definedName>
    <definedName name="OTA" localSheetId="24">#REF!</definedName>
    <definedName name="OTA" localSheetId="25">#REF!</definedName>
    <definedName name="OTA">#REF!</definedName>
    <definedName name="other_expense" localSheetId="9">[25]TRANSACTION!#REF!</definedName>
    <definedName name="other_expense" localSheetId="10">[25]TRANSACTION!#REF!</definedName>
    <definedName name="other_expense" localSheetId="23">[25]TRANSACTION!#REF!</definedName>
    <definedName name="other_expense" localSheetId="24">[25]TRANSACTION!#REF!</definedName>
    <definedName name="other_expense" localSheetId="25">[25]TRANSACTION!#REF!</definedName>
    <definedName name="other_expense">[25]TRANSACTION!#REF!</definedName>
    <definedName name="OUT_INT" localSheetId="9">#REF!</definedName>
    <definedName name="OUT_INT" localSheetId="10">#REF!</definedName>
    <definedName name="OUT_INT" localSheetId="23">#REF!</definedName>
    <definedName name="OUT_INT" localSheetId="24">#REF!</definedName>
    <definedName name="OUT_INT" localSheetId="25">#REF!</definedName>
    <definedName name="OUT_INT">#REF!</definedName>
    <definedName name="OUTPUTS" localSheetId="9">#REF!</definedName>
    <definedName name="OUTPUTS" localSheetId="10">#REF!</definedName>
    <definedName name="OUTPUTS" localSheetId="23">#REF!</definedName>
    <definedName name="OUTPUTS" localSheetId="24">#REF!</definedName>
    <definedName name="OUTPUTS" localSheetId="25">#REF!</definedName>
    <definedName name="OUTPUTS">#REF!</definedName>
    <definedName name="ownership">[17]Model!$C$22</definedName>
    <definedName name="PAGE4">[5]Calcs:tainted!$B$57:$L$73</definedName>
    <definedName name="PATHNAME" localSheetId="9">#REF!</definedName>
    <definedName name="PATHNAME" localSheetId="10">#REF!</definedName>
    <definedName name="PATHNAME" localSheetId="23">#REF!</definedName>
    <definedName name="PATHNAME" localSheetId="24">#REF!</definedName>
    <definedName name="PATHNAME" localSheetId="25">#REF!</definedName>
    <definedName name="PATHNAME">#REF!</definedName>
    <definedName name="payment" localSheetId="9">[13]Controls!#REF!</definedName>
    <definedName name="payment" localSheetId="10">[13]Controls!#REF!</definedName>
    <definedName name="payment" localSheetId="23">[13]Controls!#REF!</definedName>
    <definedName name="payment" localSheetId="24">[13]Controls!#REF!</definedName>
    <definedName name="payment" localSheetId="25">[13]Controls!#REF!</definedName>
    <definedName name="payment">[13]Controls!#REF!</definedName>
    <definedName name="PD" localSheetId="9">[28]Schedules!#REF!</definedName>
    <definedName name="PD" localSheetId="10">[28]Schedules!#REF!</definedName>
    <definedName name="PD" localSheetId="23">[28]Schedules!#REF!</definedName>
    <definedName name="PD" localSheetId="24">[28]Schedules!#REF!</definedName>
    <definedName name="PD" localSheetId="25">[28]Schedules!#REF!</definedName>
    <definedName name="PD">[28]Schedules!#REF!</definedName>
    <definedName name="pdate">[21]DCEInputs!$I$6</definedName>
    <definedName name="PERF" localSheetId="9">#REF!</definedName>
    <definedName name="PERF" localSheetId="10">#REF!</definedName>
    <definedName name="PERF" localSheetId="23">#REF!</definedName>
    <definedName name="PERF" localSheetId="24">#REF!</definedName>
    <definedName name="PERF" localSheetId="25">#REF!</definedName>
    <definedName name="PERF">#REF!</definedName>
    <definedName name="PERFORMANCE" localSheetId="9">#REF!</definedName>
    <definedName name="PERFORMANCE" localSheetId="10">#REF!</definedName>
    <definedName name="PERFORMANCE" localSheetId="23">#REF!</definedName>
    <definedName name="PERFORMANCE" localSheetId="24">#REF!</definedName>
    <definedName name="PERFORMANCE" localSheetId="25">#REF!</definedName>
    <definedName name="PERFORMANCE">#REF!</definedName>
    <definedName name="pfbal" localSheetId="9">[6]Rolex!#REF!</definedName>
    <definedName name="pfbal" localSheetId="10">[6]Rolex!#REF!</definedName>
    <definedName name="pfbal" localSheetId="23">[6]Rolex!#REF!</definedName>
    <definedName name="pfbal" localSheetId="24">[6]Rolex!#REF!</definedName>
    <definedName name="pfbal" localSheetId="25">[6]Rolex!#REF!</definedName>
    <definedName name="pfbal">[6]Rolex!#REF!</definedName>
    <definedName name="PFFINGRAPH" localSheetId="9">#REF!</definedName>
    <definedName name="PFFINGRAPH" localSheetId="10">#REF!</definedName>
    <definedName name="PFFINGRAPH" localSheetId="23">#REF!</definedName>
    <definedName name="PFFINGRAPH" localSheetId="24">#REF!</definedName>
    <definedName name="PFFINGRAPH" localSheetId="25">#REF!</definedName>
    <definedName name="PFFINGRAPH">#REF!</definedName>
    <definedName name="PIKK">'[42]Trans Assump'!$U$18</definedName>
    <definedName name="pjname" localSheetId="9">{"Client Name or Project Name"}</definedName>
    <definedName name="pjname" localSheetId="10">{"Client Name or Project Name"}</definedName>
    <definedName name="pjname" localSheetId="23">{"Client Name or Project Name"}</definedName>
    <definedName name="pjname" localSheetId="24">{"Client Name or Project Name"}</definedName>
    <definedName name="pjname" localSheetId="25">{"Client Name or Project Name"}</definedName>
    <definedName name="pjname">{"Client Name or Project Name"}</definedName>
    <definedName name="PNAME" localSheetId="9">[5]Summary!#REF!</definedName>
    <definedName name="PNAME" localSheetId="10">[5]Summary!#REF!</definedName>
    <definedName name="PNAME" localSheetId="23">[5]Summary!#REF!</definedName>
    <definedName name="PNAME" localSheetId="24">[5]Summary!#REF!</definedName>
    <definedName name="PNAME" localSheetId="25">[5]Summary!#REF!</definedName>
    <definedName name="PNAME">[5]Summary!#REF!</definedName>
    <definedName name="PP" localSheetId="9">#REF!</definedName>
    <definedName name="PP" localSheetId="10">#REF!</definedName>
    <definedName name="PP" localSheetId="23">#REF!</definedName>
    <definedName name="PP" localSheetId="24">#REF!</definedName>
    <definedName name="PP" localSheetId="25">#REF!</definedName>
    <definedName name="PP">#REF!</definedName>
    <definedName name="pprice">[14]Triggers!$E$13</definedName>
    <definedName name="pprice2" localSheetId="9">'[6]Deal Summary'!#REF!</definedName>
    <definedName name="pprice2" localSheetId="10">'[6]Deal Summary'!#REF!</definedName>
    <definedName name="pprice2" localSheetId="23">'[6]Deal Summary'!#REF!</definedName>
    <definedName name="pprice2" localSheetId="24">'[6]Deal Summary'!#REF!</definedName>
    <definedName name="pprice2" localSheetId="25">'[6]Deal Summary'!#REF!</definedName>
    <definedName name="pprice2">'[6]Deal Summary'!#REF!</definedName>
    <definedName name="PR_2006VS2005" localSheetId="9">#REF!</definedName>
    <definedName name="PR_2006VS2005" localSheetId="10">#REF!</definedName>
    <definedName name="PR_2006VS2005" localSheetId="23">#REF!</definedName>
    <definedName name="PR_2006VS2005" localSheetId="24">#REF!</definedName>
    <definedName name="PR_2006VS2005" localSheetId="25">#REF!</definedName>
    <definedName name="PR_2006VS2005">#REF!</definedName>
    <definedName name="PR_CUR_QTR" localSheetId="9">#REF!</definedName>
    <definedName name="PR_CUR_QTR" localSheetId="10">#REF!</definedName>
    <definedName name="PR_CUR_QTR" localSheetId="23">#REF!</definedName>
    <definedName name="PR_CUR_QTR" localSheetId="24">#REF!</definedName>
    <definedName name="PR_CUR_QTR" localSheetId="25">#REF!</definedName>
    <definedName name="PR_CUR_QTR">#REF!</definedName>
    <definedName name="PR_YTD" localSheetId="9">#REF!</definedName>
    <definedName name="PR_YTD" localSheetId="10">#REF!</definedName>
    <definedName name="PR_YTD" localSheetId="23">#REF!</definedName>
    <definedName name="PR_YTD" localSheetId="24">#REF!</definedName>
    <definedName name="PR_YTD" localSheetId="25">#REF!</definedName>
    <definedName name="PR_YTD">#REF!</definedName>
    <definedName name="Preferred_Stock">[1]Inputs!$B$7</definedName>
    <definedName name="premium">[5]Transinputs!$U$13</definedName>
    <definedName name="PRICE_SENSE" localSheetId="9">#REF!</definedName>
    <definedName name="PRICE_SENSE" localSheetId="10">#REF!</definedName>
    <definedName name="PRICE_SENSE" localSheetId="23">#REF!</definedName>
    <definedName name="PRICE_SENSE" localSheetId="24">#REF!</definedName>
    <definedName name="PRICE_SENSE" localSheetId="25">#REF!</definedName>
    <definedName name="PRICE_SENSE">#REF!</definedName>
    <definedName name="PRICE_SENSE2" localSheetId="9">#REF!</definedName>
    <definedName name="PRICE_SENSE2" localSheetId="10">#REF!</definedName>
    <definedName name="PRICE_SENSE2" localSheetId="23">#REF!</definedName>
    <definedName name="PRICE_SENSE2" localSheetId="24">#REF!</definedName>
    <definedName name="PRICE_SENSE2" localSheetId="25">#REF!</definedName>
    <definedName name="PRICE_SENSE2">#REF!</definedName>
    <definedName name="pricecase">[16]Buildup!$Z$374</definedName>
    <definedName name="PRINT" localSheetId="9">#REF!</definedName>
    <definedName name="PRINT" localSheetId="10">#REF!</definedName>
    <definedName name="PRINT" localSheetId="23">#REF!</definedName>
    <definedName name="PRINT" localSheetId="24">#REF!</definedName>
    <definedName name="PRINT" localSheetId="25">#REF!</definedName>
    <definedName name="PRINT">#REF!</definedName>
    <definedName name="Print_HardRock">[26]!Print_HardRock</definedName>
    <definedName name="PRINT_MENU" localSheetId="9">#REF!</definedName>
    <definedName name="PRINT_MENU" localSheetId="10">#REF!</definedName>
    <definedName name="PRINT_MENU" localSheetId="23">#REF!</definedName>
    <definedName name="PRINT_MENU" localSheetId="24">#REF!</definedName>
    <definedName name="PRINT_MENU" localSheetId="25">#REF!</definedName>
    <definedName name="PRINT_MENU">#REF!</definedName>
    <definedName name="Print_Valmax">[43]!Print_Valmax</definedName>
    <definedName name="PRINTDLG" localSheetId="9">#REF!</definedName>
    <definedName name="PRINTDLG" localSheetId="10">#REF!</definedName>
    <definedName name="PRINTDLG" localSheetId="23">#REF!</definedName>
    <definedName name="PRINTDLG" localSheetId="24">#REF!</definedName>
    <definedName name="PRINTDLG" localSheetId="25">#REF!</definedName>
    <definedName name="PRINTDLG">#REF!</definedName>
    <definedName name="PrintManagerQuery" localSheetId="9">#REF!</definedName>
    <definedName name="PrintManagerQuery" localSheetId="10">#REF!</definedName>
    <definedName name="PrintManagerQuery" localSheetId="23">#REF!</definedName>
    <definedName name="PrintManagerQuery" localSheetId="24">#REF!</definedName>
    <definedName name="PrintManagerQuery" localSheetId="25">#REF!</definedName>
    <definedName name="PrintManagerQuery">#REF!</definedName>
    <definedName name="PrintSelectedSheetsMacroButton" localSheetId="9">#REF!</definedName>
    <definedName name="PrintSelectedSheetsMacroButton" localSheetId="10">#REF!</definedName>
    <definedName name="PrintSelectedSheetsMacroButton" localSheetId="23">#REF!</definedName>
    <definedName name="PrintSelectedSheetsMacroButton" localSheetId="24">#REF!</definedName>
    <definedName name="PrintSelectedSheetsMacroButton" localSheetId="25">#REF!</definedName>
    <definedName name="PrintSelectedSheetsMacroButton">#REF!</definedName>
    <definedName name="PRMO" localSheetId="9">#REF!</definedName>
    <definedName name="PRMO" localSheetId="10">#REF!</definedName>
    <definedName name="PRMO" localSheetId="23">#REF!</definedName>
    <definedName name="PRMO" localSheetId="24">#REF!</definedName>
    <definedName name="PRMO" localSheetId="25">#REF!</definedName>
    <definedName name="PRMO">#REF!</definedName>
    <definedName name="PROCEEDS" localSheetId="9">#REF!</definedName>
    <definedName name="PROCEEDS" localSheetId="10">#REF!</definedName>
    <definedName name="PROCEEDS" localSheetId="23">#REF!</definedName>
    <definedName name="PROCEEDS" localSheetId="24">#REF!</definedName>
    <definedName name="PROCEEDS" localSheetId="25">#REF!</definedName>
    <definedName name="PROCEEDS">#REF!</definedName>
    <definedName name="PROJ1" localSheetId="9">#REF!</definedName>
    <definedName name="PROJ1" localSheetId="10">#REF!</definedName>
    <definedName name="PROJ1" localSheetId="23">#REF!</definedName>
    <definedName name="PROJ1" localSheetId="24">#REF!</definedName>
    <definedName name="PROJ1" localSheetId="25">#REF!</definedName>
    <definedName name="PROJ1">#REF!</definedName>
    <definedName name="PROJ2" localSheetId="9">#REF!</definedName>
    <definedName name="PROJ2" localSheetId="10">#REF!</definedName>
    <definedName name="PROJ2" localSheetId="23">#REF!</definedName>
    <definedName name="PROJ2" localSheetId="24">#REF!</definedName>
    <definedName name="PROJ2" localSheetId="25">#REF!</definedName>
    <definedName name="PROJ2">#REF!</definedName>
    <definedName name="PROJCURV" localSheetId="9">#REF!</definedName>
    <definedName name="PROJCURV" localSheetId="10">#REF!</definedName>
    <definedName name="PROJCURV" localSheetId="23">#REF!</definedName>
    <definedName name="PROJCURV" localSheetId="24">#REF!</definedName>
    <definedName name="PROJCURV" localSheetId="25">#REF!</definedName>
    <definedName name="PROJCURV">#REF!</definedName>
    <definedName name="project">[12]Inputs!$D$5</definedName>
    <definedName name="Project_Name">[1]Inputs!$E$1</definedName>
    <definedName name="ProjectName" localSheetId="9">{"Client Name or Project Name"}</definedName>
    <definedName name="ProjectName" localSheetId="10">{"Client Name or Project Name"}</definedName>
    <definedName name="ProjectName" localSheetId="23">{"Client Name or Project Name"}</definedName>
    <definedName name="ProjectName" localSheetId="24">{"Client Name or Project Name"}</definedName>
    <definedName name="ProjectName" localSheetId="25">{"Client Name or Project Name"}</definedName>
    <definedName name="ProjectName">{"Client Name or Project Name"}</definedName>
    <definedName name="PROJGRAPH" localSheetId="9">#REF!</definedName>
    <definedName name="PROJGRAPH" localSheetId="10">#REF!</definedName>
    <definedName name="PROJGRAPH" localSheetId="23">#REF!</definedName>
    <definedName name="PROJGRAPH" localSheetId="24">#REF!</definedName>
    <definedName name="PROJGRAPH" localSheetId="25">#REF!</definedName>
    <definedName name="PROJGRAPH">#REF!</definedName>
    <definedName name="PROJNAME">'[44]Transaction Inputs'!$E$15</definedName>
    <definedName name="PRYTD" localSheetId="9">#REF!</definedName>
    <definedName name="PRYTD" localSheetId="10">#REF!</definedName>
    <definedName name="PRYTD" localSheetId="23">#REF!</definedName>
    <definedName name="PRYTD" localSheetId="24">#REF!</definedName>
    <definedName name="PRYTD" localSheetId="25">#REF!</definedName>
    <definedName name="PRYTD">#REF!</definedName>
    <definedName name="Public" localSheetId="9">#REF!</definedName>
    <definedName name="Public" localSheetId="10">#REF!</definedName>
    <definedName name="Public" localSheetId="23">#REF!</definedName>
    <definedName name="Public" localSheetId="24">#REF!</definedName>
    <definedName name="Public" localSheetId="25">#REF!</definedName>
    <definedName name="Public">#REF!</definedName>
    <definedName name="pur">[23]Snow_recap!$R$9</definedName>
    <definedName name="PurPrice" localSheetId="9">#REF!</definedName>
    <definedName name="PurPrice" localSheetId="10">#REF!</definedName>
    <definedName name="PurPrice" localSheetId="23">#REF!</definedName>
    <definedName name="PurPrice" localSheetId="24">#REF!</definedName>
    <definedName name="PurPrice" localSheetId="25">#REF!</definedName>
    <definedName name="PurPrice">#REF!</definedName>
    <definedName name="qbm_1st_mo" localSheetId="9">#REF!</definedName>
    <definedName name="qbm_1st_mo" localSheetId="10">#REF!</definedName>
    <definedName name="qbm_1st_mo" localSheetId="23">#REF!</definedName>
    <definedName name="qbm_1st_mo" localSheetId="24">#REF!</definedName>
    <definedName name="qbm_1st_mo" localSheetId="25">#REF!</definedName>
    <definedName name="qbm_1st_mo">#REF!</definedName>
    <definedName name="qbm_2nd_mo" localSheetId="9">#REF!</definedName>
    <definedName name="qbm_2nd_mo" localSheetId="10">#REF!</definedName>
    <definedName name="qbm_2nd_mo" localSheetId="23">#REF!</definedName>
    <definedName name="qbm_2nd_mo" localSheetId="24">#REF!</definedName>
    <definedName name="qbm_2nd_mo" localSheetId="25">#REF!</definedName>
    <definedName name="qbm_2nd_mo">#REF!</definedName>
    <definedName name="qbm_2nd_mo_qtd" localSheetId="9">#REF!</definedName>
    <definedName name="qbm_2nd_mo_qtd" localSheetId="10">#REF!</definedName>
    <definedName name="qbm_2nd_mo_qtd" localSheetId="23">#REF!</definedName>
    <definedName name="qbm_2nd_mo_qtd" localSheetId="24">#REF!</definedName>
    <definedName name="qbm_2nd_mo_qtd" localSheetId="25">#REF!</definedName>
    <definedName name="qbm_2nd_mo_qtd">#REF!</definedName>
    <definedName name="qbm_3rd_mo" localSheetId="9">#REF!</definedName>
    <definedName name="qbm_3rd_mo" localSheetId="10">#REF!</definedName>
    <definedName name="qbm_3rd_mo" localSheetId="23">#REF!</definedName>
    <definedName name="qbm_3rd_mo" localSheetId="24">#REF!</definedName>
    <definedName name="qbm_3rd_mo" localSheetId="25">#REF!</definedName>
    <definedName name="qbm_3rd_mo">#REF!</definedName>
    <definedName name="qbm_3rd_mo_qtd" localSheetId="9">#REF!</definedName>
    <definedName name="qbm_3rd_mo_qtd" localSheetId="10">#REF!</definedName>
    <definedName name="qbm_3rd_mo_qtd" localSheetId="23">#REF!</definedName>
    <definedName name="qbm_3rd_mo_qtd" localSheetId="24">#REF!</definedName>
    <definedName name="qbm_3rd_mo_qtd" localSheetId="25">#REF!</definedName>
    <definedName name="qbm_3rd_mo_qtd">#REF!</definedName>
    <definedName name="QDATE" localSheetId="9">#REF!</definedName>
    <definedName name="QDATE" localSheetId="10">#REF!</definedName>
    <definedName name="QDATE" localSheetId="23">#REF!</definedName>
    <definedName name="QDATE" localSheetId="24">#REF!</definedName>
    <definedName name="QDATE" localSheetId="25">#REF!</definedName>
    <definedName name="QDATE">#REF!</definedName>
    <definedName name="QTR" localSheetId="9">[5]Acquiror!#REF!</definedName>
    <definedName name="QTR" localSheetId="10">[5]Acquiror!#REF!</definedName>
    <definedName name="QTR" localSheetId="23">[5]Acquiror!#REF!</definedName>
    <definedName name="QTR" localSheetId="24">[5]Acquiror!#REF!</definedName>
    <definedName name="QTR" localSheetId="25">[5]Acquiror!#REF!</definedName>
    <definedName name="QTR">[5]Acquiror!#REF!</definedName>
    <definedName name="qtrvsprqtr" localSheetId="9">#REF!</definedName>
    <definedName name="qtrvsprqtr" localSheetId="10">#REF!</definedName>
    <definedName name="qtrvsprqtr" localSheetId="23">#REF!</definedName>
    <definedName name="qtrvsprqtr" localSheetId="24">#REF!</definedName>
    <definedName name="qtrvsprqtr" localSheetId="25">#REF!</definedName>
    <definedName name="qtrvsprqtr">#REF!</definedName>
    <definedName name="R_TableTotals" localSheetId="9">'[45]MA Comps'!#REF!</definedName>
    <definedName name="R_TableTotals" localSheetId="10">'[45]MA Comps'!#REF!</definedName>
    <definedName name="R_TableTotals" localSheetId="23">'[45]MA Comps'!#REF!</definedName>
    <definedName name="R_TableTotals" localSheetId="24">'[45]MA Comps'!#REF!</definedName>
    <definedName name="R_TableTotals" localSheetId="25">'[45]MA Comps'!#REF!</definedName>
    <definedName name="R_TableTotals">'[45]MA Comps'!#REF!</definedName>
    <definedName name="range" localSheetId="9">#REF!</definedName>
    <definedName name="range" localSheetId="10">#REF!</definedName>
    <definedName name="range" localSheetId="23">#REF!</definedName>
    <definedName name="range" localSheetId="24">#REF!</definedName>
    <definedName name="range" localSheetId="25">#REF!</definedName>
    <definedName name="range">#REF!</definedName>
    <definedName name="RAS" localSheetId="9" hidden="1">[46]FxdChg!#REF!</definedName>
    <definedName name="RAS" localSheetId="10" hidden="1">[46]FxdChg!#REF!</definedName>
    <definedName name="RAS" localSheetId="23" hidden="1">[46]FxdChg!#REF!</definedName>
    <definedName name="RAS" localSheetId="24" hidden="1">[46]FxdChg!#REF!</definedName>
    <definedName name="RAS" localSheetId="25" hidden="1">[46]FxdChg!#REF!</definedName>
    <definedName name="RAS" hidden="1">[46]FxdChg!#REF!</definedName>
    <definedName name="rate" localSheetId="9">#REF!</definedName>
    <definedName name="rate" localSheetId="10">#REF!</definedName>
    <definedName name="rate" localSheetId="23">#REF!</definedName>
    <definedName name="rate" localSheetId="24">#REF!</definedName>
    <definedName name="rate" localSheetId="25">#REF!</definedName>
    <definedName name="rate">#REF!</definedName>
    <definedName name="raw" localSheetId="9">[25]TRANSACTION!#REF!</definedName>
    <definedName name="raw" localSheetId="10">[25]TRANSACTION!#REF!</definedName>
    <definedName name="raw" localSheetId="23">[25]TRANSACTION!#REF!</definedName>
    <definedName name="raw" localSheetId="24">[25]TRANSACTION!#REF!</definedName>
    <definedName name="raw" localSheetId="25">[25]TRANSACTION!#REF!</definedName>
    <definedName name="raw">[25]TRANSACTION!#REF!</definedName>
    <definedName name="real_average" localSheetId="9">#REF!</definedName>
    <definedName name="real_average" localSheetId="10">#REF!</definedName>
    <definedName name="real_average" localSheetId="23">#REF!</definedName>
    <definedName name="real_average" localSheetId="24">#REF!</definedName>
    <definedName name="real_average" localSheetId="25">#REF!</definedName>
    <definedName name="real_average">#REF!</definedName>
    <definedName name="real_ye" localSheetId="9">#REF!</definedName>
    <definedName name="real_ye" localSheetId="10">#REF!</definedName>
    <definedName name="real_ye" localSheetId="23">#REF!</definedName>
    <definedName name="real_ye" localSheetId="24">#REF!</definedName>
    <definedName name="real_ye" localSheetId="25">#REF!</definedName>
    <definedName name="real_ye">#REF!</definedName>
    <definedName name="Recap_paste_1" localSheetId="9">#REF!</definedName>
    <definedName name="Recap_paste_1" localSheetId="10">#REF!</definedName>
    <definedName name="Recap_paste_1" localSheetId="23">#REF!</definedName>
    <definedName name="Recap_paste_1" localSheetId="24">#REF!</definedName>
    <definedName name="Recap_paste_1" localSheetId="25">#REF!</definedName>
    <definedName name="Recap_paste_1">#REF!</definedName>
    <definedName name="Recap_paste_2" localSheetId="9">#REF!</definedName>
    <definedName name="Recap_paste_2" localSheetId="10">#REF!</definedName>
    <definedName name="Recap_paste_2" localSheetId="23">#REF!</definedName>
    <definedName name="Recap_paste_2" localSheetId="24">#REF!</definedName>
    <definedName name="Recap_paste_2" localSheetId="25">#REF!</definedName>
    <definedName name="Recap_paste_2">#REF!</definedName>
    <definedName name="Recap_paste_3" localSheetId="9">#REF!</definedName>
    <definedName name="Recap_paste_3" localSheetId="10">#REF!</definedName>
    <definedName name="Recap_paste_3" localSheetId="23">#REF!</definedName>
    <definedName name="Recap_paste_3" localSheetId="24">#REF!</definedName>
    <definedName name="Recap_paste_3" localSheetId="25">#REF!</definedName>
    <definedName name="Recap_paste_3">#REF!</definedName>
    <definedName name="Recap_template" localSheetId="9">#REF!</definedName>
    <definedName name="Recap_template" localSheetId="10">#REF!</definedName>
    <definedName name="Recap_template" localSheetId="23">#REF!</definedName>
    <definedName name="Recap_template" localSheetId="24">#REF!</definedName>
    <definedName name="Recap_template" localSheetId="25">#REF!</definedName>
    <definedName name="Recap_template">#REF!</definedName>
    <definedName name="relever">[13]Controls!$E$8</definedName>
    <definedName name="relevered_beta" localSheetId="9">'[20]DCF Model'!#REF!</definedName>
    <definedName name="relevered_beta" localSheetId="10">'[20]DCF Model'!#REF!</definedName>
    <definedName name="relevered_beta" localSheetId="23">'[20]DCF Model'!#REF!</definedName>
    <definedName name="relevered_beta" localSheetId="24">'[20]DCF Model'!#REF!</definedName>
    <definedName name="relevered_beta" localSheetId="25">'[20]DCF Model'!#REF!</definedName>
    <definedName name="relevered_beta">'[20]DCF Model'!#REF!</definedName>
    <definedName name="residmult" localSheetId="9">[35]Model!#REF!</definedName>
    <definedName name="residmult" localSheetId="10">[35]Model!#REF!</definedName>
    <definedName name="residmult" localSheetId="23">[35]Model!#REF!</definedName>
    <definedName name="residmult" localSheetId="24">[35]Model!#REF!</definedName>
    <definedName name="residmult" localSheetId="25">[35]Model!#REF!</definedName>
    <definedName name="residmult">[35]Model!#REF!</definedName>
    <definedName name="rhtcase" localSheetId="9">#REF!</definedName>
    <definedName name="rhtcase" localSheetId="10">#REF!</definedName>
    <definedName name="rhtcase" localSheetId="23">#REF!</definedName>
    <definedName name="rhtcase" localSheetId="24">#REF!</definedName>
    <definedName name="rhtcase" localSheetId="25">#REF!</definedName>
    <definedName name="rhtcase">#REF!</definedName>
    <definedName name="rhtoffer" localSheetId="9">#REF!</definedName>
    <definedName name="rhtoffer" localSheetId="10">#REF!</definedName>
    <definedName name="rhtoffer" localSheetId="23">#REF!</definedName>
    <definedName name="rhtoffer" localSheetId="24">#REF!</definedName>
    <definedName name="rhtoffer" localSheetId="25">#REF!</definedName>
    <definedName name="rhtoffer">#REF!</definedName>
    <definedName name="rhtprice">[47]Overview!$D$8</definedName>
    <definedName name="risk_free_rate" localSheetId="9">#REF!</definedName>
    <definedName name="risk_free_rate" localSheetId="10">#REF!</definedName>
    <definedName name="risk_free_rate" localSheetId="23">#REF!</definedName>
    <definedName name="risk_free_rate" localSheetId="24">#REF!</definedName>
    <definedName name="risk_free_rate" localSheetId="25">#REF!</definedName>
    <definedName name="risk_free_rate">#REF!</definedName>
    <definedName name="risk_premium" localSheetId="9">#REF!</definedName>
    <definedName name="risk_premium" localSheetId="10">#REF!</definedName>
    <definedName name="risk_premium" localSheetId="23">#REF!</definedName>
    <definedName name="risk_premium" localSheetId="24">#REF!</definedName>
    <definedName name="risk_premium" localSheetId="25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yalty" localSheetId="9">[13]Controls!#REF!</definedName>
    <definedName name="royalty" localSheetId="10">[13]Controls!#REF!</definedName>
    <definedName name="royalty" localSheetId="23">[13]Controls!#REF!</definedName>
    <definedName name="royalty" localSheetId="24">[13]Controls!#REF!</definedName>
    <definedName name="royalty" localSheetId="25">[13]Controls!#REF!</definedName>
    <definedName name="royalty">[13]Controls!#REF!</definedName>
    <definedName name="RUN" localSheetId="9">'[15]DCF Inputs'!#REF!</definedName>
    <definedName name="RUN" localSheetId="10">'[15]DCF Inputs'!#REF!</definedName>
    <definedName name="RUN" localSheetId="23">'[15]DCF Inputs'!#REF!</definedName>
    <definedName name="RUN" localSheetId="24">'[15]DCF Inputs'!#REF!</definedName>
    <definedName name="RUN" localSheetId="25">'[15]DCF Inputs'!#REF!</definedName>
    <definedName name="RUN">'[15]DCF Inputs'!#REF!</definedName>
    <definedName name="RUNTIME" localSheetId="9">#REF!</definedName>
    <definedName name="RUNTIME" localSheetId="10">#REF!</definedName>
    <definedName name="RUNTIME" localSheetId="23">#REF!</definedName>
    <definedName name="RUNTIME" localSheetId="24">#REF!</definedName>
    <definedName name="RUNTIME" localSheetId="25">#REF!</definedName>
    <definedName name="RUNTIME">#REF!</definedName>
    <definedName name="s" localSheetId="9">Word</definedName>
    <definedName name="s" localSheetId="10">Word</definedName>
    <definedName name="s" localSheetId="23">Word</definedName>
    <definedName name="s" localSheetId="24">Word</definedName>
    <definedName name="s" localSheetId="25">Word</definedName>
    <definedName name="s">Word</definedName>
    <definedName name="SALE" localSheetId="9">[13]Fin_Assumptions!#REF!</definedName>
    <definedName name="SALE" localSheetId="10">[13]Fin_Assumptions!#REF!</definedName>
    <definedName name="SALE" localSheetId="23">[13]Fin_Assumptions!#REF!</definedName>
    <definedName name="SALE" localSheetId="24">[13]Fin_Assumptions!#REF!</definedName>
    <definedName name="SALE" localSheetId="25">[13]Fin_Assumptions!#REF!</definedName>
    <definedName name="SALE">[13]Fin_Assumptions!#REF!</definedName>
    <definedName name="scenario" localSheetId="9">'[6]Deal Summary'!#REF!</definedName>
    <definedName name="scenario" localSheetId="10">'[6]Deal Summary'!#REF!</definedName>
    <definedName name="scenario" localSheetId="23">'[6]Deal Summary'!#REF!</definedName>
    <definedName name="scenario" localSheetId="24">'[6]Deal Summary'!#REF!</definedName>
    <definedName name="scenario" localSheetId="25">'[6]Deal Summary'!#REF!</definedName>
    <definedName name="scenario">'[6]Deal Summary'!#REF!</definedName>
    <definedName name="sdfsdf" localSheetId="9">#REF!</definedName>
    <definedName name="sdfsdf" localSheetId="10">#REF!</definedName>
    <definedName name="sdfsdf" localSheetId="23">#REF!</definedName>
    <definedName name="sdfsdf" localSheetId="24">#REF!</definedName>
    <definedName name="sdfsdf" localSheetId="25">#REF!</definedName>
    <definedName name="sdfsdf">#REF!</definedName>
    <definedName name="sdfsdfsd" localSheetId="9">#REF!</definedName>
    <definedName name="sdfsdfsd" localSheetId="10">#REF!</definedName>
    <definedName name="sdfsdfsd" localSheetId="23">#REF!</definedName>
    <definedName name="sdfsdfsd" localSheetId="24">#REF!</definedName>
    <definedName name="sdfsdfsd" localSheetId="25">#REF!</definedName>
    <definedName name="sdfsdfsd">#REF!</definedName>
    <definedName name="secondary1">[17]Model!$D$56</definedName>
    <definedName name="secondary2">[17]Model!$D$59</definedName>
    <definedName name="secondary3">[17]Model!$D$62</definedName>
    <definedName name="secondarydiscount">[17]Model!$D$50</definedName>
    <definedName name="secondarymultiple">[17]Model!$D$51</definedName>
    <definedName name="secondarytiming">[17]Model!$D$45</definedName>
    <definedName name="seller_note_sweep" localSheetId="9">[25]TRANSACTION!#REF!</definedName>
    <definedName name="seller_note_sweep" localSheetId="10">[25]TRANSACTION!#REF!</definedName>
    <definedName name="seller_note_sweep" localSheetId="23">[25]TRANSACTION!#REF!</definedName>
    <definedName name="seller_note_sweep" localSheetId="24">[25]TRANSACTION!#REF!</definedName>
    <definedName name="seller_note_sweep" localSheetId="25">[25]TRANSACTION!#REF!</definedName>
    <definedName name="seller_note_sweep">[25]TRANSACTION!#REF!</definedName>
    <definedName name="sellerfinancerate">[17]Model!$I$8</definedName>
    <definedName name="seniorcoupon" localSheetId="9">#REF!</definedName>
    <definedName name="seniorcoupon" localSheetId="10">#REF!</definedName>
    <definedName name="seniorcoupon" localSheetId="23">#REF!</definedName>
    <definedName name="seniorcoupon" localSheetId="24">#REF!</definedName>
    <definedName name="seniorcoupon" localSheetId="25">#REF!</definedName>
    <definedName name="seniorcoupon">#REF!</definedName>
    <definedName name="SENSEPOOL">[5]Calcs:Summary!$M$34:$AI$122</definedName>
    <definedName name="SENSITIVE" localSheetId="9">#REF!</definedName>
    <definedName name="SENSITIVE" localSheetId="10">#REF!</definedName>
    <definedName name="SENSITIVE" localSheetId="23">#REF!</definedName>
    <definedName name="SENSITIVE" localSheetId="24">#REF!</definedName>
    <definedName name="SENSITIVE" localSheetId="25">#REF!</definedName>
    <definedName name="SENSITIVE">#REF!</definedName>
    <definedName name="SENSITIVITY" localSheetId="9">#REF!</definedName>
    <definedName name="SENSITIVITY" localSheetId="10">#REF!</definedName>
    <definedName name="SENSITIVITY" localSheetId="23">#REF!</definedName>
    <definedName name="SENSITIVITY" localSheetId="24">#REF!</definedName>
    <definedName name="SENSITIVITY" localSheetId="25">#REF!</definedName>
    <definedName name="SENSITIVITY">#REF!</definedName>
    <definedName name="servdebt" localSheetId="9">[6]Earnings!#REF!</definedName>
    <definedName name="servdebt" localSheetId="10">[6]Earnings!#REF!</definedName>
    <definedName name="servdebt" localSheetId="23">[6]Earnings!#REF!</definedName>
    <definedName name="servdebt" localSheetId="24">[6]Earnings!#REF!</definedName>
    <definedName name="servdebt" localSheetId="25">[6]Earnings!#REF!</definedName>
    <definedName name="servdebt">[6]Earnings!#REF!</definedName>
    <definedName name="servicesconvention" localSheetId="9">#REF!</definedName>
    <definedName name="servicesconvention" localSheetId="10">#REF!</definedName>
    <definedName name="servicesconvention" localSheetId="23">#REF!</definedName>
    <definedName name="servicesconvention" localSheetId="24">#REF!</definedName>
    <definedName name="servicesconvention" localSheetId="25">#REF!</definedName>
    <definedName name="servicesconvention">#REF!</definedName>
    <definedName name="SET_ISS_PRICE" localSheetId="9">#REF!</definedName>
    <definedName name="SET_ISS_PRICE" localSheetId="10">#REF!</definedName>
    <definedName name="SET_ISS_PRICE" localSheetId="23">#REF!</definedName>
    <definedName name="SET_ISS_PRICE" localSheetId="24">#REF!</definedName>
    <definedName name="SET_ISS_PRICE" localSheetId="25">#REF!</definedName>
    <definedName name="SET_ISS_PRICE">#REF!</definedName>
    <definedName name="SET_OFF_PRICE" localSheetId="9">#REF!</definedName>
    <definedName name="SET_OFF_PRICE" localSheetId="10">#REF!</definedName>
    <definedName name="SET_OFF_PRICE" localSheetId="23">#REF!</definedName>
    <definedName name="SET_OFF_PRICE" localSheetId="24">#REF!</definedName>
    <definedName name="SET_OFF_PRICE" localSheetId="25">#REF!</definedName>
    <definedName name="SET_OFF_PRICE">#REF!</definedName>
    <definedName name="set_price" localSheetId="9">'[6]Deal Summary'!#REF!</definedName>
    <definedName name="set_price" localSheetId="10">'[6]Deal Summary'!#REF!</definedName>
    <definedName name="set_price" localSheetId="23">'[6]Deal Summary'!#REF!</definedName>
    <definedName name="set_price" localSheetId="24">'[6]Deal Summary'!#REF!</definedName>
    <definedName name="set_price" localSheetId="25">'[6]Deal Summary'!#REF!</definedName>
    <definedName name="set_price">'[6]Deal Summary'!#REF!</definedName>
    <definedName name="shares">[48]DCEInputs!$M$13</definedName>
    <definedName name="Shares_Outstanding">[1]Inputs!$B$5</definedName>
    <definedName name="SHDATE" localSheetId="9">#REF!</definedName>
    <definedName name="SHDATE" localSheetId="10">#REF!</definedName>
    <definedName name="SHDATE" localSheetId="23">#REF!</definedName>
    <definedName name="SHDATE" localSheetId="24">#REF!</definedName>
    <definedName name="SHDATE" localSheetId="25">#REF!</definedName>
    <definedName name="SHDATE">#REF!</definedName>
    <definedName name="Short_Term_Debt">[1]Inputs!$B$9</definedName>
    <definedName name="signcont" localSheetId="9">#REF!</definedName>
    <definedName name="signcont" localSheetId="10">#REF!</definedName>
    <definedName name="signcont" localSheetId="23">#REF!</definedName>
    <definedName name="signcont" localSheetId="24">#REF!</definedName>
    <definedName name="signcont" localSheetId="25">#REF!</definedName>
    <definedName name="signcont">#REF!</definedName>
    <definedName name="signcontOther" localSheetId="9">#REF!</definedName>
    <definedName name="signcontOther" localSheetId="10">#REF!</definedName>
    <definedName name="signcontOther" localSheetId="23">#REF!</definedName>
    <definedName name="signcontOther" localSheetId="24">#REF!</definedName>
    <definedName name="signcontOther" localSheetId="25">#REF!</definedName>
    <definedName name="signcontOther">#REF!</definedName>
    <definedName name="srecap">[14]Triggers!$E$21</definedName>
    <definedName name="StrikePrice" localSheetId="9">#REF!</definedName>
    <definedName name="StrikePrice" localSheetId="10">#REF!</definedName>
    <definedName name="StrikePrice" localSheetId="23">#REF!</definedName>
    <definedName name="StrikePrice" localSheetId="24">#REF!</definedName>
    <definedName name="StrikePrice" localSheetId="25">#REF!</definedName>
    <definedName name="StrikePrice">#REF!</definedName>
    <definedName name="Stub_year_fraction" localSheetId="9">#REF!</definedName>
    <definedName name="Stub_year_fraction" localSheetId="10">#REF!</definedName>
    <definedName name="Stub_year_fraction" localSheetId="23">#REF!</definedName>
    <definedName name="Stub_year_fraction" localSheetId="24">#REF!</definedName>
    <definedName name="Stub_year_fraction" localSheetId="25">#REF!</definedName>
    <definedName name="Stub_year_fraction">#REF!</definedName>
    <definedName name="sum" localSheetId="9">#REF!</definedName>
    <definedName name="sum" localSheetId="10">#REF!</definedName>
    <definedName name="sum" localSheetId="23">#REF!</definedName>
    <definedName name="sum" localSheetId="24">#REF!</definedName>
    <definedName name="sum" localSheetId="25">#REF!</definedName>
    <definedName name="sum">#REF!</definedName>
    <definedName name="support_A" localSheetId="9">#REF!</definedName>
    <definedName name="support_A" localSheetId="10">#REF!</definedName>
    <definedName name="support_A" localSheetId="23">#REF!</definedName>
    <definedName name="support_A" localSheetId="24">#REF!</definedName>
    <definedName name="support_A" localSheetId="25">#REF!</definedName>
    <definedName name="support_A">#REF!</definedName>
    <definedName name="support_B" localSheetId="9">#REF!</definedName>
    <definedName name="support_B" localSheetId="10">#REF!</definedName>
    <definedName name="support_B" localSheetId="23">#REF!</definedName>
    <definedName name="support_B" localSheetId="24">#REF!</definedName>
    <definedName name="support_B" localSheetId="25">#REF!</definedName>
    <definedName name="support_B">#REF!</definedName>
    <definedName name="support_C" localSheetId="9">#REF!</definedName>
    <definedName name="support_C" localSheetId="10">#REF!</definedName>
    <definedName name="support_C" localSheetId="23">#REF!</definedName>
    <definedName name="support_C" localSheetId="24">#REF!</definedName>
    <definedName name="support_C" localSheetId="25">#REF!</definedName>
    <definedName name="support_C">#REF!</definedName>
    <definedName name="switch">[23]conrol!$B$16</definedName>
    <definedName name="syn" localSheetId="9">'[45]DCF - Ed'!#REF!</definedName>
    <definedName name="syn" localSheetId="10">'[45]DCF - Ed'!#REF!</definedName>
    <definedName name="syn" localSheetId="23">'[45]DCF - Ed'!#REF!</definedName>
    <definedName name="syn" localSheetId="24">'[45]DCF - Ed'!#REF!</definedName>
    <definedName name="syn" localSheetId="25">'[45]DCF - Ed'!#REF!</definedName>
    <definedName name="syn">'[45]DCF - Ed'!#REF!</definedName>
    <definedName name="SYN_ON" localSheetId="9">'[6]Trans Assump'!#REF!</definedName>
    <definedName name="SYN_ON" localSheetId="10">'[6]Trans Assump'!#REF!</definedName>
    <definedName name="SYN_ON" localSheetId="23">'[6]Trans Assump'!#REF!</definedName>
    <definedName name="SYN_ON" localSheetId="24">'[6]Trans Assump'!#REF!</definedName>
    <definedName name="SYN_ON" localSheetId="25">'[6]Trans Assump'!#REF!</definedName>
    <definedName name="SYN_ON">'[6]Trans Assump'!#REF!</definedName>
    <definedName name="SYNOFF" localSheetId="9">'[15]DCF Inputs'!#REF!</definedName>
    <definedName name="SYNOFF" localSheetId="10">'[15]DCF Inputs'!#REF!</definedName>
    <definedName name="SYNOFF" localSheetId="23">'[15]DCF Inputs'!#REF!</definedName>
    <definedName name="SYNOFF" localSheetId="24">'[15]DCF Inputs'!#REF!</definedName>
    <definedName name="SYNOFF" localSheetId="25">'[15]DCF Inputs'!#REF!</definedName>
    <definedName name="SYNOFF">'[15]DCF Inputs'!#REF!</definedName>
    <definedName name="SYNON" localSheetId="9">'[15]DCF Inputs'!#REF!</definedName>
    <definedName name="SYNON" localSheetId="10">'[15]DCF Inputs'!#REF!</definedName>
    <definedName name="SYNON" localSheetId="23">'[15]DCF Inputs'!#REF!</definedName>
    <definedName name="SYNON" localSheetId="24">'[15]DCF Inputs'!#REF!</definedName>
    <definedName name="SYNON" localSheetId="25">'[15]DCF Inputs'!#REF!</definedName>
    <definedName name="SYNON">'[15]DCF Inputs'!#REF!</definedName>
    <definedName name="t1book">'[44]Target 1'!$W$26</definedName>
    <definedName name="t1cash">'[44]Target 1'!$W$8</definedName>
    <definedName name="t1debt">'[44]Target 1'!$W$22</definedName>
    <definedName name="t1ebitda">'[44]Target 1'!$G$25</definedName>
    <definedName name="T1RENTS">'[44]Target 1'!$G$23</definedName>
    <definedName name="t1revs">'[44]Target 1'!$G$20</definedName>
    <definedName name="t1shares">'[44]Share Calculations'!$K$29</definedName>
    <definedName name="Tar00Est" localSheetId="9">#REF!</definedName>
    <definedName name="Tar00Est" localSheetId="10">#REF!</definedName>
    <definedName name="Tar00Est" localSheetId="23">#REF!</definedName>
    <definedName name="Tar00Est" localSheetId="24">#REF!</definedName>
    <definedName name="Tar00Est" localSheetId="25">#REF!</definedName>
    <definedName name="Tar00Est">#REF!</definedName>
    <definedName name="Tar01Est" localSheetId="9">#REF!</definedName>
    <definedName name="Tar01Est" localSheetId="10">#REF!</definedName>
    <definedName name="Tar01Est" localSheetId="23">#REF!</definedName>
    <definedName name="Tar01Est" localSheetId="24">#REF!</definedName>
    <definedName name="Tar01Est" localSheetId="25">#REF!</definedName>
    <definedName name="Tar01Est">#REF!</definedName>
    <definedName name="Tar99Est" localSheetId="9">#REF!</definedName>
    <definedName name="Tar99Est" localSheetId="10">#REF!</definedName>
    <definedName name="Tar99Est" localSheetId="23">#REF!</definedName>
    <definedName name="Tar99Est" localSheetId="24">#REF!</definedName>
    <definedName name="Tar99Est" localSheetId="25">#REF!</definedName>
    <definedName name="Tar99Est">#REF!</definedName>
    <definedName name="targ1fy97">'[44]Target 1'!$E$11</definedName>
    <definedName name="targ1fy98">'[44]Target 1'!$E$11</definedName>
    <definedName name="targ1price">'[44]Transaction Calculations'!$I$22</definedName>
    <definedName name="targ1shares">'[44]Transaction Calculations'!$I$29</definedName>
    <definedName name="Targ52High">[3]Input!$K$63</definedName>
    <definedName name="Targ52Low">[3]Input!$K$64</definedName>
    <definedName name="TargCalEPS1">[3]Input!$K$68</definedName>
    <definedName name="TargCalEPS2">[3]Input!$K$69</definedName>
    <definedName name="TargCalEPS3">[3]Input!$K$70</definedName>
    <definedName name="TargEBITDA">[3]Input!$K$47</definedName>
    <definedName name="TARGET_NAME" localSheetId="9">[5]Target!#REF!</definedName>
    <definedName name="TARGET_NAME" localSheetId="10">[5]Target!#REF!</definedName>
    <definedName name="TARGET_NAME" localSheetId="23">[5]Target!#REF!</definedName>
    <definedName name="TARGET_NAME" localSheetId="24">[5]Target!#REF!</definedName>
    <definedName name="TARGET_NAME" localSheetId="25">[5]Target!#REF!</definedName>
    <definedName name="TARGET_NAME">[5]Target!#REF!</definedName>
    <definedName name="Target1">'[44]Transaction Inputs'!$E$19</definedName>
    <definedName name="TargetDebt">[3]Input!$K$54</definedName>
    <definedName name="tax" localSheetId="9">#REF!</definedName>
    <definedName name="tax" localSheetId="10">#REF!</definedName>
    <definedName name="tax" localSheetId="23">#REF!</definedName>
    <definedName name="tax" localSheetId="24">#REF!</definedName>
    <definedName name="tax" localSheetId="25">#REF!</definedName>
    <definedName name="tax">#REF!</definedName>
    <definedName name="Tax_Rate" localSheetId="9">#REF!</definedName>
    <definedName name="Tax_Rate" localSheetId="10">#REF!</definedName>
    <definedName name="Tax_Rate" localSheetId="23">#REF!</definedName>
    <definedName name="Tax_Rate" localSheetId="24">#REF!</definedName>
    <definedName name="Tax_Rate" localSheetId="25">#REF!</definedName>
    <definedName name="Tax_Rate">#REF!</definedName>
    <definedName name="taxasset?" localSheetId="9">[27]Transaction!#REF!</definedName>
    <definedName name="taxasset?" localSheetId="10">[27]Transaction!#REF!</definedName>
    <definedName name="taxasset?" localSheetId="23">[27]Transaction!#REF!</definedName>
    <definedName name="taxasset?" localSheetId="24">[27]Transaction!#REF!</definedName>
    <definedName name="taxasset?" localSheetId="25">[27]Transaction!#REF!</definedName>
    <definedName name="taxasset?">[27]Transaction!#REF!</definedName>
    <definedName name="taxassetswitch" localSheetId="9">[27]Transaction!#REF!</definedName>
    <definedName name="taxassetswitch" localSheetId="10">[27]Transaction!#REF!</definedName>
    <definedName name="taxassetswitch" localSheetId="23">[27]Transaction!#REF!</definedName>
    <definedName name="taxassetswitch" localSheetId="24">[27]Transaction!#REF!</definedName>
    <definedName name="taxassetswitch" localSheetId="25">[27]Transaction!#REF!</definedName>
    <definedName name="taxassetswitch">[27]Transaction!#REF!</definedName>
    <definedName name="taxrate" localSheetId="9">#REF!</definedName>
    <definedName name="taxrate" localSheetId="10">#REF!</definedName>
    <definedName name="taxrate" localSheetId="23">#REF!</definedName>
    <definedName name="taxrate" localSheetId="24">#REF!</definedName>
    <definedName name="taxrate" localSheetId="25">#REF!</definedName>
    <definedName name="taxrate">#REF!</definedName>
    <definedName name="tbl" localSheetId="9">{2}</definedName>
    <definedName name="tbl" localSheetId="10">{2}</definedName>
    <definedName name="tbl" localSheetId="23">{2}</definedName>
    <definedName name="tbl" localSheetId="24">{2}</definedName>
    <definedName name="tbl" localSheetId="25">{2}</definedName>
    <definedName name="tbl">{2}</definedName>
    <definedName name="TEMPLATE_FILE" localSheetId="9">[5]Inputs!#REF!</definedName>
    <definedName name="TEMPLATE_FILE" localSheetId="10">[5]Inputs!#REF!</definedName>
    <definedName name="TEMPLATE_FILE" localSheetId="23">[5]Inputs!#REF!</definedName>
    <definedName name="TEMPLATE_FILE" localSheetId="24">[5]Inputs!#REF!</definedName>
    <definedName name="TEMPLATE_FILE" localSheetId="25">[5]Inputs!#REF!</definedName>
    <definedName name="TEMPLATE_FILE">[5]Inputs!#REF!</definedName>
    <definedName name="tender" localSheetId="9">'[49]Trans Assump'!#REF!</definedName>
    <definedName name="tender" localSheetId="10">'[49]Trans Assump'!#REF!</definedName>
    <definedName name="tender" localSheetId="23">'[49]Trans Assump'!#REF!</definedName>
    <definedName name="tender" localSheetId="24">'[49]Trans Assump'!#REF!</definedName>
    <definedName name="tender" localSheetId="25">'[49]Trans Assump'!#REF!</definedName>
    <definedName name="tender">'[49]Trans Assump'!#REF!</definedName>
    <definedName name="ticker">'[21]SumComp-Nortel'!$D$1</definedName>
    <definedName name="ticker2" localSheetId="9">'[12]Side by Side'!#REF!</definedName>
    <definedName name="ticker2" localSheetId="10">'[12]Side by Side'!#REF!</definedName>
    <definedName name="ticker2" localSheetId="23">'[12]Side by Side'!#REF!</definedName>
    <definedName name="ticker2" localSheetId="24">'[12]Side by Side'!#REF!</definedName>
    <definedName name="ticker2" localSheetId="25">'[12]Side by Side'!#REF!</definedName>
    <definedName name="ticker2">'[12]Side by Side'!#REF!</definedName>
    <definedName name="timepeiece">[3]Input!$E$9</definedName>
    <definedName name="Title">[28]Cases!$A$4</definedName>
    <definedName name="TOTAL_ACQ">'[50]Units Sold Data'!$B$123:$J$123</definedName>
    <definedName name="TOTAL_AUS">'[50]Units Sold Data'!$B$69:$J$69</definedName>
    <definedName name="TOTAL_CAN">'[50]Units Sold Data'!$B$87:$J$87</definedName>
    <definedName name="TOTAL_FM">'[51]Total Products - FM'!$B$17:$J$17</definedName>
    <definedName name="TOTAL_NAT_L">'[50]Units Sold Data'!$B$105:$J$105</definedName>
    <definedName name="TOTAL_UK">'[50]Units Sold Data'!$B$51:$J$51</definedName>
    <definedName name="TOTAL_US">'[50]Units Sold Data'!$B$33:$J$33</definedName>
    <definedName name="totalcap" localSheetId="9">#REF!</definedName>
    <definedName name="totalcap" localSheetId="10">#REF!</definedName>
    <definedName name="totalcap" localSheetId="23">#REF!</definedName>
    <definedName name="totalcap" localSheetId="24">#REF!</definedName>
    <definedName name="totalcap" localSheetId="25">#REF!</definedName>
    <definedName name="totalcap">#REF!</definedName>
    <definedName name="TR_LOOP" localSheetId="9">#REF!</definedName>
    <definedName name="TR_LOOP" localSheetId="10">#REF!</definedName>
    <definedName name="TR_LOOP" localSheetId="23">#REF!</definedName>
    <definedName name="TR_LOOP" localSheetId="24">#REF!</definedName>
    <definedName name="TR_LOOP" localSheetId="25">#REF!</definedName>
    <definedName name="TR_LOOP">#REF!</definedName>
    <definedName name="TR_MERGE" localSheetId="9">#REF!</definedName>
    <definedName name="TR_MERGE" localSheetId="10">#REF!</definedName>
    <definedName name="TR_MERGE" localSheetId="23">#REF!</definedName>
    <definedName name="TR_MERGE" localSheetId="24">#REF!</definedName>
    <definedName name="TR_MERGE" localSheetId="25">#REF!</definedName>
    <definedName name="TR_MERGE">#REF!</definedName>
    <definedName name="TR_METHODS" localSheetId="9">#REF!</definedName>
    <definedName name="TR_METHODS" localSheetId="10">#REF!</definedName>
    <definedName name="TR_METHODS" localSheetId="23">#REF!</definedName>
    <definedName name="TR_METHODS" localSheetId="24">#REF!</definedName>
    <definedName name="TR_METHODS" localSheetId="25">#REF!</definedName>
    <definedName name="TR_METHODS">#REF!</definedName>
    <definedName name="TR_PRICE" localSheetId="9">#REF!</definedName>
    <definedName name="TR_PRICE" localSheetId="10">#REF!</definedName>
    <definedName name="TR_PRICE" localSheetId="23">#REF!</definedName>
    <definedName name="TR_PRICE" localSheetId="24">#REF!</definedName>
    <definedName name="TR_PRICE" localSheetId="25">#REF!</definedName>
    <definedName name="TR_PRICE">#REF!</definedName>
    <definedName name="TR_RANGES" localSheetId="9">#REF!</definedName>
    <definedName name="TR_RANGES" localSheetId="10">#REF!</definedName>
    <definedName name="TR_RANGES" localSheetId="23">#REF!</definedName>
    <definedName name="TR_RANGES" localSheetId="24">#REF!</definedName>
    <definedName name="TR_RANGES" localSheetId="25">#REF!</definedName>
    <definedName name="TR_RANGES">#REF!</definedName>
    <definedName name="TR_STRUCT" localSheetId="9">#REF!</definedName>
    <definedName name="TR_STRUCT" localSheetId="10">#REF!</definedName>
    <definedName name="TR_STRUCT" localSheetId="23">#REF!</definedName>
    <definedName name="TR_STRUCT" localSheetId="24">#REF!</definedName>
    <definedName name="TR_STRUCT" localSheetId="25">#REF!</definedName>
    <definedName name="TR_STRUCT">#REF!</definedName>
    <definedName name="TR_STRUCT_CALCS" localSheetId="9">#REF!</definedName>
    <definedName name="TR_STRUCT_CALCS" localSheetId="10">#REF!</definedName>
    <definedName name="TR_STRUCT_CALCS" localSheetId="23">#REF!</definedName>
    <definedName name="TR_STRUCT_CALCS" localSheetId="24">#REF!</definedName>
    <definedName name="TR_STRUCT_CALCS" localSheetId="25">#REF!</definedName>
    <definedName name="TR_STRUCT_CALCS">#REF!</definedName>
    <definedName name="TR_STRUCT_RUN" localSheetId="9">#REF!</definedName>
    <definedName name="TR_STRUCT_RUN" localSheetId="10">#REF!</definedName>
    <definedName name="TR_STRUCT_RUN" localSheetId="23">#REF!</definedName>
    <definedName name="TR_STRUCT_RUN" localSheetId="24">#REF!</definedName>
    <definedName name="TR_STRUCT_RUN" localSheetId="25">#REF!</definedName>
    <definedName name="TR_STRUCT_RUN">#REF!</definedName>
    <definedName name="TRADVAL" localSheetId="9">#REF!</definedName>
    <definedName name="TRADVAL" localSheetId="10">#REF!</definedName>
    <definedName name="TRADVAL" localSheetId="23">#REF!</definedName>
    <definedName name="TRADVAL" localSheetId="24">#REF!</definedName>
    <definedName name="TRADVAL" localSheetId="25">#REF!</definedName>
    <definedName name="TRADVAL">#REF!</definedName>
    <definedName name="transactioncase" localSheetId="9">#REF!</definedName>
    <definedName name="transactioncase" localSheetId="10">#REF!</definedName>
    <definedName name="transactioncase" localSheetId="23">#REF!</definedName>
    <definedName name="transactioncase" localSheetId="24">#REF!</definedName>
    <definedName name="transactioncase" localSheetId="25">#REF!</definedName>
    <definedName name="transactioncase">#REF!</definedName>
    <definedName name="TWO_YRS_BY_MTH" localSheetId="9">#REF!</definedName>
    <definedName name="TWO_YRS_BY_MTH" localSheetId="10">#REF!</definedName>
    <definedName name="TWO_YRS_BY_MTH" localSheetId="23">#REF!</definedName>
    <definedName name="TWO_YRS_BY_MTH" localSheetId="24">#REF!</definedName>
    <definedName name="TWO_YRS_BY_MTH" localSheetId="25">#REF!</definedName>
    <definedName name="TWO_YRS_BY_MTH">#REF!</definedName>
    <definedName name="UNAFFPRICE" localSheetId="9">[5]Target!#REF!</definedName>
    <definedName name="UNAFFPRICE" localSheetId="10">[5]Target!#REF!</definedName>
    <definedName name="UNAFFPRICE" localSheetId="23">[5]Target!#REF!</definedName>
    <definedName name="UNAFFPRICE" localSheetId="24">[5]Target!#REF!</definedName>
    <definedName name="UNAFFPRICE" localSheetId="25">[5]Target!#REF!</definedName>
    <definedName name="UNAFFPRICE">[5]Target!#REF!</definedName>
    <definedName name="units">[40]conrol!$C$8</definedName>
    <definedName name="UPDATE" localSheetId="9">#REF!</definedName>
    <definedName name="UPDATE" localSheetId="10">#REF!</definedName>
    <definedName name="UPDATE" localSheetId="23">#REF!</definedName>
    <definedName name="UPDATE" localSheetId="24">#REF!</definedName>
    <definedName name="UPDATE" localSheetId="25">#REF!</definedName>
    <definedName name="UPDATE">#REF!</definedName>
    <definedName name="UPDATE_MKT" localSheetId="9">#REF!</definedName>
    <definedName name="UPDATE_MKT" localSheetId="10">#REF!</definedName>
    <definedName name="UPDATE_MKT" localSheetId="23">#REF!</definedName>
    <definedName name="UPDATE_MKT" localSheetId="24">#REF!</definedName>
    <definedName name="UPDATE_MKT" localSheetId="25">#REF!</definedName>
    <definedName name="UPDATE_MKT">#REF!</definedName>
    <definedName name="us_cpi" localSheetId="9">#REF!</definedName>
    <definedName name="us_cpi" localSheetId="10">#REF!</definedName>
    <definedName name="us_cpi" localSheetId="23">#REF!</definedName>
    <definedName name="us_cpi" localSheetId="24">#REF!</definedName>
    <definedName name="us_cpi" localSheetId="25">#REF!</definedName>
    <definedName name="us_cpi">#REF!</definedName>
    <definedName name="USE_TEMP" localSheetId="9">[5]Inputs!#REF!</definedName>
    <definedName name="USE_TEMP" localSheetId="10">[5]Inputs!#REF!</definedName>
    <definedName name="USE_TEMP" localSheetId="23">[5]Inputs!#REF!</definedName>
    <definedName name="USE_TEMP" localSheetId="24">[5]Inputs!#REF!</definedName>
    <definedName name="USE_TEMP" localSheetId="25">[5]Inputs!#REF!</definedName>
    <definedName name="USE_TEMP">[5]Inputs!#REF!</definedName>
    <definedName name="Useful_Life_of_Depreciable_PP_E">"PPElife"</definedName>
    <definedName name="usprice">[21]DCEInputs!$I$5</definedName>
    <definedName name="varyr1" localSheetId="9">'[52]var 10 11'!#REF!</definedName>
    <definedName name="varyr1" localSheetId="10">'[52]var 10 11'!#REF!</definedName>
    <definedName name="varyr1" localSheetId="23">'[52]var 10 11'!#REF!</definedName>
    <definedName name="varyr1" localSheetId="24">'[52]var 10 11'!#REF!</definedName>
    <definedName name="varyr1" localSheetId="25">'[52]var 10 11'!#REF!</definedName>
    <definedName name="varyr1">'[52]var 10 11'!#REF!</definedName>
    <definedName name="VAT" localSheetId="9">#REF!</definedName>
    <definedName name="VAT" localSheetId="10">#REF!</definedName>
    <definedName name="VAT" localSheetId="23">#REF!</definedName>
    <definedName name="VAT" localSheetId="24">#REF!</definedName>
    <definedName name="VAT" localSheetId="25">#REF!</definedName>
    <definedName name="VAT">#REF!</definedName>
    <definedName name="VCA" localSheetId="9">#REF!</definedName>
    <definedName name="VCA" localSheetId="10">#REF!</definedName>
    <definedName name="VCA" localSheetId="23">#REF!</definedName>
    <definedName name="VCA" localSheetId="24">#REF!</definedName>
    <definedName name="VCA" localSheetId="25">#REF!</definedName>
    <definedName name="VCA">#REF!</definedName>
    <definedName name="w_sales" localSheetId="9">[29]Lookups!#REF!</definedName>
    <definedName name="w_sales" localSheetId="10">[29]Lookups!#REF!</definedName>
    <definedName name="w_sales" localSheetId="23">[29]Lookups!#REF!</definedName>
    <definedName name="w_sales" localSheetId="24">[29]Lookups!#REF!</definedName>
    <definedName name="w_sales" localSheetId="25">[29]Lookups!#REF!</definedName>
    <definedName name="w_sales">[29]Lookups!#REF!</definedName>
    <definedName name="wacc" localSheetId="9">#REF!</definedName>
    <definedName name="wacc" localSheetId="10">#REF!</definedName>
    <definedName name="wacc" localSheetId="23">#REF!</definedName>
    <definedName name="wacc" localSheetId="24">#REF!</definedName>
    <definedName name="wacc" localSheetId="25">#REF!</definedName>
    <definedName name="wacc">#REF!</definedName>
    <definedName name="Weight_of_Equity" localSheetId="9">'[8]B&amp;W WACC'!#REF!</definedName>
    <definedName name="Weight_of_Equity" localSheetId="10">'[8]B&amp;W WACC'!#REF!</definedName>
    <definedName name="Weight_of_Equity" localSheetId="23">'[8]B&amp;W WACC'!#REF!</definedName>
    <definedName name="Weight_of_Equity" localSheetId="24">'[8]B&amp;W WACC'!#REF!</definedName>
    <definedName name="Weight_of_Equity" localSheetId="25">'[8]B&amp;W WACC'!#REF!</definedName>
    <definedName name="Weight_of_Equity">'[8]B&amp;W WACC'!#REF!</definedName>
    <definedName name="wrn.IPO._.Valuation." localSheetId="9" hidden="1">{"assumptions",#N/A,FALSE,"Scenario 1";"valuation",#N/A,FALSE,"Scenario 1"}</definedName>
    <definedName name="wrn.IPO._.Valuation." localSheetId="10" hidden="1">{"assumptions",#N/A,FALSE,"Scenario 1";"valuation",#N/A,FALSE,"Scenario 1"}</definedName>
    <definedName name="wrn.IPO._.Valuation." localSheetId="23" hidden="1">{"assumptions",#N/A,FALSE,"Scenario 1";"valuation",#N/A,FALSE,"Scenario 1"}</definedName>
    <definedName name="wrn.IPO._.Valuation." localSheetId="24" hidden="1">{"assumptions",#N/A,FALSE,"Scenario 1";"valuation",#N/A,FALSE,"Scenario 1"}</definedName>
    <definedName name="wrn.IPO._.Valuation." localSheetId="25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9" hidden="1">{"LBO Summary",#N/A,FALSE,"Summary"}</definedName>
    <definedName name="wrn.LBO._.Summary." localSheetId="10" hidden="1">{"LBO Summary",#N/A,FALSE,"Summary"}</definedName>
    <definedName name="wrn.LBO._.Summary." localSheetId="23" hidden="1">{"LBO Summary",#N/A,FALSE,"Summary"}</definedName>
    <definedName name="wrn.LBO._.Summary." localSheetId="24" hidden="1">{"LBO Summary",#N/A,FALSE,"Summary"}</definedName>
    <definedName name="wrn.LBO._.Summary." localSheetId="25" hidden="1">{"LBO Summary",#N/A,FALSE,"Summary"}</definedName>
    <definedName name="wrn.LBO._.Summary." hidden="1">{"LBO Summary",#N/A,FALSE,"Summary"}</definedName>
    <definedName name="wrn.Print._.All._.Pages." localSheetId="9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 localSheetId="9">#REF!</definedName>
    <definedName name="y1active" localSheetId="10">#REF!</definedName>
    <definedName name="y1active" localSheetId="23">#REF!</definedName>
    <definedName name="y1active" localSheetId="24">#REF!</definedName>
    <definedName name="y1active" localSheetId="25">#REF!</definedName>
    <definedName name="y1active">#REF!</definedName>
    <definedName name="y1build" localSheetId="9">#REF!</definedName>
    <definedName name="y1build" localSheetId="10">#REF!</definedName>
    <definedName name="y1build" localSheetId="23">#REF!</definedName>
    <definedName name="y1build" localSheetId="24">#REF!</definedName>
    <definedName name="y1build" localSheetId="25">#REF!</definedName>
    <definedName name="y1build">#REF!</definedName>
    <definedName name="y1build_alt" localSheetId="9">#REF!</definedName>
    <definedName name="y1build_alt" localSheetId="10">#REF!</definedName>
    <definedName name="y1build_alt" localSheetId="23">#REF!</definedName>
    <definedName name="y1build_alt" localSheetId="24">#REF!</definedName>
    <definedName name="y1build_alt" localSheetId="25">#REF!</definedName>
    <definedName name="y1build_alt">#REF!</definedName>
    <definedName name="y1sport" localSheetId="9">#REF!</definedName>
    <definedName name="y1sport" localSheetId="10">#REF!</definedName>
    <definedName name="y1sport" localSheetId="23">#REF!</definedName>
    <definedName name="y1sport" localSheetId="24">#REF!</definedName>
    <definedName name="y1sport" localSheetId="25">#REF!</definedName>
    <definedName name="y1sport">#REF!</definedName>
    <definedName name="y2active" localSheetId="9">#REF!</definedName>
    <definedName name="y2active" localSheetId="10">#REF!</definedName>
    <definedName name="y2active" localSheetId="23">#REF!</definedName>
    <definedName name="y2active" localSheetId="24">#REF!</definedName>
    <definedName name="y2active" localSheetId="25">#REF!</definedName>
    <definedName name="y2active">#REF!</definedName>
    <definedName name="y2build" localSheetId="9">#REF!</definedName>
    <definedName name="y2build" localSheetId="10">#REF!</definedName>
    <definedName name="y2build" localSheetId="23">#REF!</definedName>
    <definedName name="y2build" localSheetId="24">#REF!</definedName>
    <definedName name="y2build" localSheetId="25">#REF!</definedName>
    <definedName name="y2build">#REF!</definedName>
    <definedName name="y2build_alt" localSheetId="9">#REF!</definedName>
    <definedName name="y2build_alt" localSheetId="10">#REF!</definedName>
    <definedName name="y2build_alt" localSheetId="23">#REF!</definedName>
    <definedName name="y2build_alt" localSheetId="24">#REF!</definedName>
    <definedName name="y2build_alt" localSheetId="25">#REF!</definedName>
    <definedName name="y2build_alt">#REF!</definedName>
    <definedName name="y2sport" localSheetId="9">#REF!</definedName>
    <definedName name="y2sport" localSheetId="10">#REF!</definedName>
    <definedName name="y2sport" localSheetId="23">#REF!</definedName>
    <definedName name="y2sport" localSheetId="24">#REF!</definedName>
    <definedName name="y2sport" localSheetId="25">#REF!</definedName>
    <definedName name="y2sport">#REF!</definedName>
    <definedName name="y3active" localSheetId="9">#REF!</definedName>
    <definedName name="y3active" localSheetId="10">#REF!</definedName>
    <definedName name="y3active" localSheetId="23">#REF!</definedName>
    <definedName name="y3active" localSheetId="24">#REF!</definedName>
    <definedName name="y3active" localSheetId="25">#REF!</definedName>
    <definedName name="y3active">#REF!</definedName>
    <definedName name="y3build" localSheetId="9">#REF!</definedName>
    <definedName name="y3build" localSheetId="10">#REF!</definedName>
    <definedName name="y3build" localSheetId="23">#REF!</definedName>
    <definedName name="y3build" localSheetId="24">#REF!</definedName>
    <definedName name="y3build" localSheetId="25">#REF!</definedName>
    <definedName name="y3build">#REF!</definedName>
    <definedName name="y3build_alt" localSheetId="9">#REF!</definedName>
    <definedName name="y3build_alt" localSheetId="10">#REF!</definedName>
    <definedName name="y3build_alt" localSheetId="23">#REF!</definedName>
    <definedName name="y3build_alt" localSheetId="24">#REF!</definedName>
    <definedName name="y3build_alt" localSheetId="25">#REF!</definedName>
    <definedName name="y3build_alt">#REF!</definedName>
    <definedName name="y3sport" localSheetId="9">#REF!</definedName>
    <definedName name="y3sport" localSheetId="10">#REF!</definedName>
    <definedName name="y3sport" localSheetId="23">#REF!</definedName>
    <definedName name="y3sport" localSheetId="24">#REF!</definedName>
    <definedName name="y3sport" localSheetId="25">#REF!</definedName>
    <definedName name="y3sport">#REF!</definedName>
    <definedName name="y4active" localSheetId="9">#REF!</definedName>
    <definedName name="y4active" localSheetId="10">#REF!</definedName>
    <definedName name="y4active" localSheetId="23">#REF!</definedName>
    <definedName name="y4active" localSheetId="24">#REF!</definedName>
    <definedName name="y4active" localSheetId="25">#REF!</definedName>
    <definedName name="y4active">#REF!</definedName>
    <definedName name="y4build" localSheetId="9">#REF!</definedName>
    <definedName name="y4build" localSheetId="10">#REF!</definedName>
    <definedName name="y4build" localSheetId="23">#REF!</definedName>
    <definedName name="y4build" localSheetId="24">#REF!</definedName>
    <definedName name="y4build" localSheetId="25">#REF!</definedName>
    <definedName name="y4build">#REF!</definedName>
    <definedName name="y4build_alt" localSheetId="9">#REF!</definedName>
    <definedName name="y4build_alt" localSheetId="10">#REF!</definedName>
    <definedName name="y4build_alt" localSheetId="23">#REF!</definedName>
    <definedName name="y4build_alt" localSheetId="24">#REF!</definedName>
    <definedName name="y4build_alt" localSheetId="25">#REF!</definedName>
    <definedName name="y4build_alt">#REF!</definedName>
    <definedName name="y4sport" localSheetId="9">#REF!</definedName>
    <definedName name="y4sport" localSheetId="10">#REF!</definedName>
    <definedName name="y4sport" localSheetId="23">#REF!</definedName>
    <definedName name="y4sport" localSheetId="24">#REF!</definedName>
    <definedName name="y4sport" localSheetId="25">#REF!</definedName>
    <definedName name="y4sport">#REF!</definedName>
    <definedName name="y5active" localSheetId="9">#REF!</definedName>
    <definedName name="y5active" localSheetId="10">#REF!</definedName>
    <definedName name="y5active" localSheetId="23">#REF!</definedName>
    <definedName name="y5active" localSheetId="24">#REF!</definedName>
    <definedName name="y5active" localSheetId="25">#REF!</definedName>
    <definedName name="y5active">#REF!</definedName>
    <definedName name="y5build" localSheetId="9">#REF!</definedName>
    <definedName name="y5build" localSheetId="10">#REF!</definedName>
    <definedName name="y5build" localSheetId="23">#REF!</definedName>
    <definedName name="y5build" localSheetId="24">#REF!</definedName>
    <definedName name="y5build" localSheetId="25">#REF!</definedName>
    <definedName name="y5build">#REF!</definedName>
    <definedName name="y5build_alt" localSheetId="9">#REF!</definedName>
    <definedName name="y5build_alt" localSheetId="10">#REF!</definedName>
    <definedName name="y5build_alt" localSheetId="23">#REF!</definedName>
    <definedName name="y5build_alt" localSheetId="24">#REF!</definedName>
    <definedName name="y5build_alt" localSheetId="25">#REF!</definedName>
    <definedName name="y5build_alt">#REF!</definedName>
    <definedName name="y5sport" localSheetId="9">#REF!</definedName>
    <definedName name="y5sport" localSheetId="10">#REF!</definedName>
    <definedName name="y5sport" localSheetId="23">#REF!</definedName>
    <definedName name="y5sport" localSheetId="24">#REF!</definedName>
    <definedName name="y5sport" localSheetId="25">#REF!</definedName>
    <definedName name="y5sport">#REF!</definedName>
    <definedName name="y6active" localSheetId="9">#REF!</definedName>
    <definedName name="y6active" localSheetId="10">#REF!</definedName>
    <definedName name="y6active" localSheetId="23">#REF!</definedName>
    <definedName name="y6active" localSheetId="24">#REF!</definedName>
    <definedName name="y6active" localSheetId="25">#REF!</definedName>
    <definedName name="y6active">#REF!</definedName>
    <definedName name="y6build" localSheetId="9">#REF!</definedName>
    <definedName name="y6build" localSheetId="10">#REF!</definedName>
    <definedName name="y6build" localSheetId="23">#REF!</definedName>
    <definedName name="y6build" localSheetId="24">#REF!</definedName>
    <definedName name="y6build" localSheetId="25">#REF!</definedName>
    <definedName name="y6build">#REF!</definedName>
    <definedName name="y6build_alt" localSheetId="9">#REF!</definedName>
    <definedName name="y6build_alt" localSheetId="10">#REF!</definedName>
    <definedName name="y6build_alt" localSheetId="23">#REF!</definedName>
    <definedName name="y6build_alt" localSheetId="24">#REF!</definedName>
    <definedName name="y6build_alt" localSheetId="25">#REF!</definedName>
    <definedName name="y6build_alt">#REF!</definedName>
    <definedName name="y6sport" localSheetId="9">#REF!</definedName>
    <definedName name="y6sport" localSheetId="10">#REF!</definedName>
    <definedName name="y6sport" localSheetId="23">#REF!</definedName>
    <definedName name="y6sport" localSheetId="24">#REF!</definedName>
    <definedName name="y6sport" localSheetId="25">#REF!</definedName>
    <definedName name="y6sport">#REF!</definedName>
    <definedName name="year" localSheetId="9">#REF!</definedName>
    <definedName name="year" localSheetId="10">#REF!</definedName>
    <definedName name="year" localSheetId="23">#REF!</definedName>
    <definedName name="year" localSheetId="24">#REF!</definedName>
    <definedName name="year" localSheetId="25">#REF!</definedName>
    <definedName name="Year">#REF!</definedName>
    <definedName name="YEAR2" localSheetId="9">[13]Fin_Assumptions!#REF!</definedName>
    <definedName name="YEAR2" localSheetId="10">[13]Fin_Assumptions!#REF!</definedName>
    <definedName name="YEAR2" localSheetId="23">[13]Fin_Assumptions!#REF!</definedName>
    <definedName name="YEAR2" localSheetId="24">[13]Fin_Assumptions!#REF!</definedName>
    <definedName name="YEAR2" localSheetId="25">[13]Fin_Assumptions!#REF!</definedName>
    <definedName name="YEAR2">[13]Fin_Assumptions!#REF!</definedName>
    <definedName name="yr1b" localSheetId="9">#REF!</definedName>
    <definedName name="yr1b" localSheetId="10">#REF!</definedName>
    <definedName name="yr1b" localSheetId="23">#REF!</definedName>
    <definedName name="yr1b" localSheetId="24">#REF!</definedName>
    <definedName name="yr1b" localSheetId="25">#REF!</definedName>
    <definedName name="yr1b">#REF!</definedName>
    <definedName name="z_Clear" localSheetId="9">#REF!,#REF!,#REF!,#REF!,#REF!,#REF!,#REF!,#REF!,#REF!,#REF!,#REF!,#REF!</definedName>
    <definedName name="z_Clear" localSheetId="10">#REF!,#REF!,#REF!,#REF!,#REF!,#REF!,#REF!,#REF!,#REF!,#REF!,#REF!,#REF!</definedName>
    <definedName name="z_Clear" localSheetId="23">#REF!,#REF!,#REF!,#REF!,#REF!,#REF!,#REF!,#REF!,#REF!,#REF!,#REF!,#REF!</definedName>
    <definedName name="z_Clear" localSheetId="24">#REF!,#REF!,#REF!,#REF!,#REF!,#REF!,#REF!,#REF!,#REF!,#REF!,#REF!,#REF!</definedName>
    <definedName name="z_Clear" localSheetId="25">#REF!,#REF!,#REF!,#REF!,#REF!,#REF!,#REF!,#REF!,#REF!,#REF!,#REF!,#REF!</definedName>
    <definedName name="z_Clear">#REF!,#REF!,#REF!,#REF!,#REF!,#REF!,#REF!,#REF!,#REF!,#REF!,#REF!,#REF!</definedName>
    <definedName name="z_Col10">[10]Main!$P$5:$P$56,[10]Main!$P$16:$P$132,[10]Main!$P$145:$P$199,[10]Main!$P$213:$P$234</definedName>
    <definedName name="z_Col11">[10]Main!$P$5:$P$56,[10]Main!$P$16:$P$132,[10]Main!$P$145:$P$199,[10]Main!$P$213:$P$234</definedName>
    <definedName name="z_Col12">[10]Main!$P$5:$P$56,[10]Main!$P$16:$P$132,[10]Main!$P$145:$P$199,[10]Main!$P$213:$P$234</definedName>
    <definedName name="z_Col13">[10]Main!$P$5:$P$56,[10]Main!$P$16:$P$132,[10]Main!$P$145:$P$199,[10]Main!$P$213:$P$234</definedName>
    <definedName name="z_Col14">[10]Main!$P$5:$P$56,[10]Main!$P$16:$P$132,[10]Main!$P$145:$P$199,[10]Main!$P$213:$P$234</definedName>
    <definedName name="z_Col5">[10]Main!$J$5:$O$56,[10]Main!$J$16:$O$132,[10]Main!$J$145:$O$199,[10]Main!$J$213:$O$234</definedName>
    <definedName name="z_Col6">[10]Main!$N$4:$O$56,[10]Main!$N$16:$O$132,[10]Main!$N$145:$O$199,[10]Main!$N$213:$O$234</definedName>
    <definedName name="z_Col7" localSheetId="9">[10]Main!#REF!,[10]Main!#REF!,[10]Main!#REF!,[10]Main!#REF!</definedName>
    <definedName name="z_Col7" localSheetId="10">[10]Main!#REF!,[10]Main!#REF!,[10]Main!#REF!,[10]Main!#REF!</definedName>
    <definedName name="z_Col7" localSheetId="23">[10]Main!#REF!,[10]Main!#REF!,[10]Main!#REF!,[10]Main!#REF!</definedName>
    <definedName name="z_Col7" localSheetId="24">[10]Main!#REF!,[10]Main!#REF!,[10]Main!#REF!,[10]Main!#REF!</definedName>
    <definedName name="z_Col7" localSheetId="25">[10]Main!#REF!,[10]Main!#REF!,[10]Main!#REF!,[10]Main!#REF!</definedName>
    <definedName name="z_Col7">[10]Main!#REF!,[10]Main!#REF!,[10]Main!#REF!,[10]Main!#REF!</definedName>
    <definedName name="z_Col9">[10]Main!$P$5:$P$56,[10]Main!$P$16:$P$132,[10]Main!$P$145:$P$199,[10]Main!$P$213:$P$234</definedName>
    <definedName name="z_DelOne" localSheetId="9">#REF!</definedName>
    <definedName name="z_DelOne" localSheetId="10">#REF!</definedName>
    <definedName name="z_DelOne" localSheetId="23">#REF!</definedName>
    <definedName name="z_DelOne" localSheetId="24">#REF!</definedName>
    <definedName name="z_DelOne" localSheetId="25">#REF!</definedName>
    <definedName name="z_DelOne">#REF!</definedName>
    <definedName name="z_DelTwo" localSheetId="9">#REF!</definedName>
    <definedName name="z_DelTwo" localSheetId="10">#REF!</definedName>
    <definedName name="z_DelTwo" localSheetId="23">#REF!</definedName>
    <definedName name="z_DelTwo" localSheetId="24">#REF!</definedName>
    <definedName name="z_DelTwo" localSheetId="25">#REF!</definedName>
    <definedName name="z_DelTwo">#REF!</definedName>
    <definedName name="z_End" localSheetId="9">#REF!</definedName>
    <definedName name="z_End" localSheetId="10">#REF!</definedName>
    <definedName name="z_End" localSheetId="23">#REF!</definedName>
    <definedName name="z_End" localSheetId="24">#REF!</definedName>
    <definedName name="z_End" localSheetId="25">#REF!</definedName>
    <definedName name="z_End">#REF!</definedName>
    <definedName name="z_End1" localSheetId="9">[10]Main!#REF!</definedName>
    <definedName name="z_End1" localSheetId="10">[10]Main!#REF!</definedName>
    <definedName name="z_End1" localSheetId="23">[10]Main!#REF!</definedName>
    <definedName name="z_End1" localSheetId="24">[10]Main!#REF!</definedName>
    <definedName name="z_End1" localSheetId="25">[10]Main!#REF!</definedName>
    <definedName name="z_End1">[10]Main!#REF!</definedName>
    <definedName name="z_EndA" localSheetId="9">[10]Main!#REF!</definedName>
    <definedName name="z_EndA" localSheetId="10">[10]Main!#REF!</definedName>
    <definedName name="z_EndA" localSheetId="23">[10]Main!#REF!</definedName>
    <definedName name="z_EndA" localSheetId="24">[10]Main!#REF!</definedName>
    <definedName name="z_EndA" localSheetId="25">[10]Main!#REF!</definedName>
    <definedName name="z_EndA">[10]Main!#REF!</definedName>
    <definedName name="z_Endp1" localSheetId="9">[10]Main!#REF!</definedName>
    <definedName name="z_Endp1" localSheetId="10">[10]Main!#REF!</definedName>
    <definedName name="z_Endp1" localSheetId="23">[10]Main!#REF!</definedName>
    <definedName name="z_Endp1" localSheetId="24">[10]Main!#REF!</definedName>
    <definedName name="z_Endp1" localSheetId="25">[10]Main!#REF!</definedName>
    <definedName name="z_Endp1">[10]Main!#REF!</definedName>
    <definedName name="z_EndP2" localSheetId="9">[10]Main!#REF!</definedName>
    <definedName name="z_EndP2" localSheetId="10">[10]Main!#REF!</definedName>
    <definedName name="z_EndP2" localSheetId="23">[10]Main!#REF!</definedName>
    <definedName name="z_EndP2" localSheetId="24">[10]Main!#REF!</definedName>
    <definedName name="z_EndP2" localSheetId="25">[10]Main!#REF!</definedName>
    <definedName name="z_EndP2">[10]Main!#REF!</definedName>
    <definedName name="z_Industry" localSheetId="9">[10]Main!#REF!</definedName>
    <definedName name="z_Industry" localSheetId="10">[10]Main!#REF!</definedName>
    <definedName name="z_Industry" localSheetId="23">[10]Main!#REF!</definedName>
    <definedName name="z_Industry" localSheetId="24">[10]Main!#REF!</definedName>
    <definedName name="z_Industry" localSheetId="25">[10]Main!#REF!</definedName>
    <definedName name="z_Industry">[10]Main!#REF!</definedName>
    <definedName name="z_Margin_EBIT3yr" localSheetId="9">#REF!</definedName>
    <definedName name="z_Margin_EBIT3yr" localSheetId="10">#REF!</definedName>
    <definedName name="z_Margin_EBIT3yr" localSheetId="23">#REF!</definedName>
    <definedName name="z_Margin_EBIT3yr" localSheetId="24">#REF!</definedName>
    <definedName name="z_Margin_EBIT3yr" localSheetId="25">#REF!</definedName>
    <definedName name="z_Margin_EBIT3yr">#REF!</definedName>
    <definedName name="z_Margin_EBIT3yr_Increm" localSheetId="9">#REF!</definedName>
    <definedName name="z_Margin_EBIT3yr_Increm" localSheetId="10">#REF!</definedName>
    <definedName name="z_Margin_EBIT3yr_Increm" localSheetId="23">#REF!</definedName>
    <definedName name="z_Margin_EBIT3yr_Increm" localSheetId="24">#REF!</definedName>
    <definedName name="z_Margin_EBIT3yr_Increm" localSheetId="25">#REF!</definedName>
    <definedName name="z_Margin_EBIT3yr_Increm">#REF!</definedName>
    <definedName name="z_Margin_EBIT3yr_Max" localSheetId="9">#REF!</definedName>
    <definedName name="z_Margin_EBIT3yr_Max" localSheetId="10">#REF!</definedName>
    <definedName name="z_Margin_EBIT3yr_Max" localSheetId="23">#REF!</definedName>
    <definedName name="z_Margin_EBIT3yr_Max" localSheetId="24">#REF!</definedName>
    <definedName name="z_Margin_EBIT3yr_Max" localSheetId="25">#REF!</definedName>
    <definedName name="z_Margin_EBIT3yr_Max">#REF!</definedName>
    <definedName name="z_Margin_EBIT3yr_Mean" localSheetId="9">#REF!</definedName>
    <definedName name="z_Margin_EBIT3yr_Mean" localSheetId="10">#REF!</definedName>
    <definedName name="z_Margin_EBIT3yr_Mean" localSheetId="23">#REF!</definedName>
    <definedName name="z_Margin_EBIT3yr_Mean" localSheetId="24">#REF!</definedName>
    <definedName name="z_Margin_EBIT3yr_Mean" localSheetId="25">#REF!</definedName>
    <definedName name="z_Margin_EBIT3yr_Mean">#REF!</definedName>
    <definedName name="z_Margin_EBIT3yr_Mean_cal" localSheetId="9">#REF!</definedName>
    <definedName name="z_Margin_EBIT3yr_Mean_cal" localSheetId="10">#REF!</definedName>
    <definedName name="z_Margin_EBIT3yr_Mean_cal" localSheetId="23">#REF!</definedName>
    <definedName name="z_Margin_EBIT3yr_Mean_cal" localSheetId="24">#REF!</definedName>
    <definedName name="z_Margin_EBIT3yr_Mean_cal" localSheetId="25">#REF!</definedName>
    <definedName name="z_Margin_EBIT3yr_Mean_cal">#REF!</definedName>
    <definedName name="z_Margin_EBIT3yr_Min" localSheetId="9">#REF!</definedName>
    <definedName name="z_Margin_EBIT3yr_Min" localSheetId="10">#REF!</definedName>
    <definedName name="z_Margin_EBIT3yr_Min" localSheetId="23">#REF!</definedName>
    <definedName name="z_Margin_EBIT3yr_Min" localSheetId="24">#REF!</definedName>
    <definedName name="z_Margin_EBIT3yr_Min" localSheetId="25">#REF!</definedName>
    <definedName name="z_Margin_EBIT3yr_Min">#REF!</definedName>
    <definedName name="z_Margin_EBIT3yr_Name" localSheetId="9">#REF!</definedName>
    <definedName name="z_Margin_EBIT3yr_Name" localSheetId="10">#REF!</definedName>
    <definedName name="z_Margin_EBIT3yr_Name" localSheetId="23">#REF!</definedName>
    <definedName name="z_Margin_EBIT3yr_Name" localSheetId="24">#REF!</definedName>
    <definedName name="z_Margin_EBIT3yr_Name" localSheetId="25">#REF!</definedName>
    <definedName name="z_Margin_EBIT3yr_Name">#REF!</definedName>
    <definedName name="z_Margin_EBIT3yr2" localSheetId="9">#REF!</definedName>
    <definedName name="z_Margin_EBIT3yr2" localSheetId="10">#REF!</definedName>
    <definedName name="z_Margin_EBIT3yr2" localSheetId="23">#REF!</definedName>
    <definedName name="z_Margin_EBIT3yr2" localSheetId="24">#REF!</definedName>
    <definedName name="z_Margin_EBIT3yr2" localSheetId="25">#REF!</definedName>
    <definedName name="z_Margin_EBIT3yr2">#REF!</definedName>
    <definedName name="z_Margin_EBITDA3yr" localSheetId="9">#REF!</definedName>
    <definedName name="z_Margin_EBITDA3yr" localSheetId="10">#REF!</definedName>
    <definedName name="z_Margin_EBITDA3yr" localSheetId="23">#REF!</definedName>
    <definedName name="z_Margin_EBITDA3yr" localSheetId="24">#REF!</definedName>
    <definedName name="z_Margin_EBITDA3yr" localSheetId="25">#REF!</definedName>
    <definedName name="z_Margin_EBITDA3yr">#REF!</definedName>
    <definedName name="z_Margin_EBITDA3yr_Increm" localSheetId="9">#REF!</definedName>
    <definedName name="z_Margin_EBITDA3yr_Increm" localSheetId="10">#REF!</definedName>
    <definedName name="z_Margin_EBITDA3yr_Increm" localSheetId="23">#REF!</definedName>
    <definedName name="z_Margin_EBITDA3yr_Increm" localSheetId="24">#REF!</definedName>
    <definedName name="z_Margin_EBITDA3yr_Increm" localSheetId="25">#REF!</definedName>
    <definedName name="z_Margin_EBITDA3yr_Increm">#REF!</definedName>
    <definedName name="z_Margin_EBITDA3yr_Max" localSheetId="9">#REF!</definedName>
    <definedName name="z_Margin_EBITDA3yr_Max" localSheetId="10">#REF!</definedName>
    <definedName name="z_Margin_EBITDA3yr_Max" localSheetId="23">#REF!</definedName>
    <definedName name="z_Margin_EBITDA3yr_Max" localSheetId="24">#REF!</definedName>
    <definedName name="z_Margin_EBITDA3yr_Max" localSheetId="25">#REF!</definedName>
    <definedName name="z_Margin_EBITDA3yr_Max">#REF!</definedName>
    <definedName name="z_Margin_EBITDA3yr_Mean" localSheetId="9">#REF!</definedName>
    <definedName name="z_Margin_EBITDA3yr_Mean" localSheetId="10">#REF!</definedName>
    <definedName name="z_Margin_EBITDA3yr_Mean" localSheetId="23">#REF!</definedName>
    <definedName name="z_Margin_EBITDA3yr_Mean" localSheetId="24">#REF!</definedName>
    <definedName name="z_Margin_EBITDA3yr_Mean" localSheetId="25">#REF!</definedName>
    <definedName name="z_Margin_EBITDA3yr_Mean">#REF!</definedName>
    <definedName name="z_Margin_EBITDA3yr_Mean_cal" localSheetId="9">#REF!</definedName>
    <definedName name="z_Margin_EBITDA3yr_Mean_cal" localSheetId="10">#REF!</definedName>
    <definedName name="z_Margin_EBITDA3yr_Mean_cal" localSheetId="23">#REF!</definedName>
    <definedName name="z_Margin_EBITDA3yr_Mean_cal" localSheetId="24">#REF!</definedName>
    <definedName name="z_Margin_EBITDA3yr_Mean_cal" localSheetId="25">#REF!</definedName>
    <definedName name="z_Margin_EBITDA3yr_Mean_cal">#REF!</definedName>
    <definedName name="z_Margin_EBITDA3yr_Min" localSheetId="9">#REF!</definedName>
    <definedName name="z_Margin_EBITDA3yr_Min" localSheetId="10">#REF!</definedName>
    <definedName name="z_Margin_EBITDA3yr_Min" localSheetId="23">#REF!</definedName>
    <definedName name="z_Margin_EBITDA3yr_Min" localSheetId="24">#REF!</definedName>
    <definedName name="z_Margin_EBITDA3yr_Min" localSheetId="25">#REF!</definedName>
    <definedName name="z_Margin_EBITDA3yr_Min">#REF!</definedName>
    <definedName name="z_Margin_EBITDA3yr_Name" localSheetId="9">#REF!</definedName>
    <definedName name="z_Margin_EBITDA3yr_Name" localSheetId="10">#REF!</definedName>
    <definedName name="z_Margin_EBITDA3yr_Name" localSheetId="23">#REF!</definedName>
    <definedName name="z_Margin_EBITDA3yr_Name" localSheetId="24">#REF!</definedName>
    <definedName name="z_Margin_EBITDA3yr_Name" localSheetId="25">#REF!</definedName>
    <definedName name="z_Margin_EBITDA3yr_Name">#REF!</definedName>
    <definedName name="z_Margin_EBITDA3yr2" localSheetId="9">#REF!</definedName>
    <definedName name="z_Margin_EBITDA3yr2" localSheetId="10">#REF!</definedName>
    <definedName name="z_Margin_EBITDA3yr2" localSheetId="23">#REF!</definedName>
    <definedName name="z_Margin_EBITDA3yr2" localSheetId="24">#REF!</definedName>
    <definedName name="z_Margin_EBITDA3yr2" localSheetId="25">#REF!</definedName>
    <definedName name="z_Margin_EBITDA3yr2">#REF!</definedName>
    <definedName name="z_Margin_LTM_EBIT" localSheetId="9">#REF!</definedName>
    <definedName name="z_Margin_LTM_EBIT" localSheetId="10">#REF!</definedName>
    <definedName name="z_Margin_LTM_EBIT" localSheetId="23">#REF!</definedName>
    <definedName name="z_Margin_LTM_EBIT" localSheetId="24">#REF!</definedName>
    <definedName name="z_Margin_LTM_EBIT" localSheetId="25">#REF!</definedName>
    <definedName name="z_Margin_LTM_EBIT">#REF!</definedName>
    <definedName name="z_Margin_LTM_EBIT_Increm" localSheetId="9">#REF!</definedName>
    <definedName name="z_Margin_LTM_EBIT_Increm" localSheetId="10">#REF!</definedName>
    <definedName name="z_Margin_LTM_EBIT_Increm" localSheetId="23">#REF!</definedName>
    <definedName name="z_Margin_LTM_EBIT_Increm" localSheetId="24">#REF!</definedName>
    <definedName name="z_Margin_LTM_EBIT_Increm" localSheetId="25">#REF!</definedName>
    <definedName name="z_Margin_LTM_EBIT_Increm">#REF!</definedName>
    <definedName name="z_Margin_LTM_EBIT_Max" localSheetId="9">#REF!</definedName>
    <definedName name="z_Margin_LTM_EBIT_Max" localSheetId="10">#REF!</definedName>
    <definedName name="z_Margin_LTM_EBIT_Max" localSheetId="23">#REF!</definedName>
    <definedName name="z_Margin_LTM_EBIT_Max" localSheetId="24">#REF!</definedName>
    <definedName name="z_Margin_LTM_EBIT_Max" localSheetId="25">#REF!</definedName>
    <definedName name="z_Margin_LTM_EBIT_Max">#REF!</definedName>
    <definedName name="z_Margin_LTM_EBIT_Mean" localSheetId="9">#REF!</definedName>
    <definedName name="z_Margin_LTM_EBIT_Mean" localSheetId="10">#REF!</definedName>
    <definedName name="z_Margin_LTM_EBIT_Mean" localSheetId="23">#REF!</definedName>
    <definedName name="z_Margin_LTM_EBIT_Mean" localSheetId="24">#REF!</definedName>
    <definedName name="z_Margin_LTM_EBIT_Mean" localSheetId="25">#REF!</definedName>
    <definedName name="z_Margin_LTM_EBIT_Mean">#REF!</definedName>
    <definedName name="z_Margin_LTM_EBIT_Mean_cal" localSheetId="9">#REF!</definedName>
    <definedName name="z_Margin_LTM_EBIT_Mean_cal" localSheetId="10">#REF!</definedName>
    <definedName name="z_Margin_LTM_EBIT_Mean_cal" localSheetId="23">#REF!</definedName>
    <definedName name="z_Margin_LTM_EBIT_Mean_cal" localSheetId="24">#REF!</definedName>
    <definedName name="z_Margin_LTM_EBIT_Mean_cal" localSheetId="25">#REF!</definedName>
    <definedName name="z_Margin_LTM_EBIT_Mean_cal">#REF!</definedName>
    <definedName name="z_Margin_LTM_EBIT_Min" localSheetId="9">#REF!</definedName>
    <definedName name="z_Margin_LTM_EBIT_Min" localSheetId="10">#REF!</definedName>
    <definedName name="z_Margin_LTM_EBIT_Min" localSheetId="23">#REF!</definedName>
    <definedName name="z_Margin_LTM_EBIT_Min" localSheetId="24">#REF!</definedName>
    <definedName name="z_Margin_LTM_EBIT_Min" localSheetId="25">#REF!</definedName>
    <definedName name="z_Margin_LTM_EBIT_Min">#REF!</definedName>
    <definedName name="z_Margin_LTM_EBIT_Name" localSheetId="9">#REF!</definedName>
    <definedName name="z_Margin_LTM_EBIT_Name" localSheetId="10">#REF!</definedName>
    <definedName name="z_Margin_LTM_EBIT_Name" localSheetId="23">#REF!</definedName>
    <definedName name="z_Margin_LTM_EBIT_Name" localSheetId="24">#REF!</definedName>
    <definedName name="z_Margin_LTM_EBIT_Name" localSheetId="25">#REF!</definedName>
    <definedName name="z_Margin_LTM_EBIT_Name">#REF!</definedName>
    <definedName name="z_Margin_LTM_EBIT2" localSheetId="9">#REF!</definedName>
    <definedName name="z_Margin_LTM_EBIT2" localSheetId="10">#REF!</definedName>
    <definedName name="z_Margin_LTM_EBIT2" localSheetId="23">#REF!</definedName>
    <definedName name="z_Margin_LTM_EBIT2" localSheetId="24">#REF!</definedName>
    <definedName name="z_Margin_LTM_EBIT2" localSheetId="25">#REF!</definedName>
    <definedName name="z_Margin_LTM_EBIT2">#REF!</definedName>
    <definedName name="z_Margin_LTM_EBITDA" localSheetId="9">#REF!</definedName>
    <definedName name="z_Margin_LTM_EBITDA" localSheetId="10">#REF!</definedName>
    <definedName name="z_Margin_LTM_EBITDA" localSheetId="23">#REF!</definedName>
    <definedName name="z_Margin_LTM_EBITDA" localSheetId="24">#REF!</definedName>
    <definedName name="z_Margin_LTM_EBITDA" localSheetId="25">#REF!</definedName>
    <definedName name="z_Margin_LTM_EBITDA">#REF!</definedName>
    <definedName name="z_Margin_LTM_EBITDA_Increm" localSheetId="9">#REF!</definedName>
    <definedName name="z_Margin_LTM_EBITDA_Increm" localSheetId="10">#REF!</definedName>
    <definedName name="z_Margin_LTM_EBITDA_Increm" localSheetId="23">#REF!</definedName>
    <definedName name="z_Margin_LTM_EBITDA_Increm" localSheetId="24">#REF!</definedName>
    <definedName name="z_Margin_LTM_EBITDA_Increm" localSheetId="25">#REF!</definedName>
    <definedName name="z_Margin_LTM_EBITDA_Increm">#REF!</definedName>
    <definedName name="z_Margin_LTM_EBITDA_Max" localSheetId="9">#REF!</definedName>
    <definedName name="z_Margin_LTM_EBITDA_Max" localSheetId="10">#REF!</definedName>
    <definedName name="z_Margin_LTM_EBITDA_Max" localSheetId="23">#REF!</definedName>
    <definedName name="z_Margin_LTM_EBITDA_Max" localSheetId="24">#REF!</definedName>
    <definedName name="z_Margin_LTM_EBITDA_Max" localSheetId="25">#REF!</definedName>
    <definedName name="z_Margin_LTM_EBITDA_Max">#REF!</definedName>
    <definedName name="z_Margin_LTM_EBITDA_Mean" localSheetId="9">#REF!</definedName>
    <definedName name="z_Margin_LTM_EBITDA_Mean" localSheetId="10">#REF!</definedName>
    <definedName name="z_Margin_LTM_EBITDA_Mean" localSheetId="23">#REF!</definedName>
    <definedName name="z_Margin_LTM_EBITDA_Mean" localSheetId="24">#REF!</definedName>
    <definedName name="z_Margin_LTM_EBITDA_Mean" localSheetId="25">#REF!</definedName>
    <definedName name="z_Margin_LTM_EBITDA_Mean">#REF!</definedName>
    <definedName name="z_Margin_LTM_EBITDA_Mean_cal" localSheetId="9">#REF!</definedName>
    <definedName name="z_Margin_LTM_EBITDA_Mean_cal" localSheetId="10">#REF!</definedName>
    <definedName name="z_Margin_LTM_EBITDA_Mean_cal" localSheetId="23">#REF!</definedName>
    <definedName name="z_Margin_LTM_EBITDA_Mean_cal" localSheetId="24">#REF!</definedName>
    <definedName name="z_Margin_LTM_EBITDA_Mean_cal" localSheetId="25">#REF!</definedName>
    <definedName name="z_Margin_LTM_EBITDA_Mean_cal">#REF!</definedName>
    <definedName name="z_Margin_LTM_EBITDA_Min" localSheetId="9">#REF!</definedName>
    <definedName name="z_Margin_LTM_EBITDA_Min" localSheetId="10">#REF!</definedName>
    <definedName name="z_Margin_LTM_EBITDA_Min" localSheetId="23">#REF!</definedName>
    <definedName name="z_Margin_LTM_EBITDA_Min" localSheetId="24">#REF!</definedName>
    <definedName name="z_Margin_LTM_EBITDA_Min" localSheetId="25">#REF!</definedName>
    <definedName name="z_Margin_LTM_EBITDA_Min">#REF!</definedName>
    <definedName name="z_Margin_LTM_EBITDA_Name" localSheetId="9">#REF!</definedName>
    <definedName name="z_Margin_LTM_EBITDA_Name" localSheetId="10">#REF!</definedName>
    <definedName name="z_Margin_LTM_EBITDA_Name" localSheetId="23">#REF!</definedName>
    <definedName name="z_Margin_LTM_EBITDA_Name" localSheetId="24">#REF!</definedName>
    <definedName name="z_Margin_LTM_EBITDA_Name" localSheetId="25">#REF!</definedName>
    <definedName name="z_Margin_LTM_EBITDA_Name">#REF!</definedName>
    <definedName name="z_Margin_LTM_EBITDA2" localSheetId="9">#REF!</definedName>
    <definedName name="z_Margin_LTM_EBITDA2" localSheetId="10">#REF!</definedName>
    <definedName name="z_Margin_LTM_EBITDA2" localSheetId="23">#REF!</definedName>
    <definedName name="z_Margin_LTM_EBITDA2" localSheetId="24">#REF!</definedName>
    <definedName name="z_Margin_LTM_EBITDA2" localSheetId="25">#REF!</definedName>
    <definedName name="z_Margin_LTM_EBITDA2">#REF!</definedName>
    <definedName name="z_Op_EBIT" localSheetId="9">#REF!</definedName>
    <definedName name="z_Op_EBIT" localSheetId="10">#REF!</definedName>
    <definedName name="z_Op_EBIT" localSheetId="23">#REF!</definedName>
    <definedName name="z_Op_EBIT" localSheetId="24">#REF!</definedName>
    <definedName name="z_Op_EBIT" localSheetId="25">#REF!</definedName>
    <definedName name="z_Op_EBIT">#REF!</definedName>
    <definedName name="z_Op_EBIT_Increm" localSheetId="9">#REF!</definedName>
    <definedName name="z_Op_EBIT_Increm" localSheetId="10">#REF!</definedName>
    <definedName name="z_Op_EBIT_Increm" localSheetId="23">#REF!</definedName>
    <definedName name="z_Op_EBIT_Increm" localSheetId="24">#REF!</definedName>
    <definedName name="z_Op_EBIT_Increm" localSheetId="25">#REF!</definedName>
    <definedName name="z_Op_EBIT_Increm">#REF!</definedName>
    <definedName name="z_Op_EBIT_Max" localSheetId="9">#REF!</definedName>
    <definedName name="z_Op_EBIT_Max" localSheetId="10">#REF!</definedName>
    <definedName name="z_Op_EBIT_Max" localSheetId="23">#REF!</definedName>
    <definedName name="z_Op_EBIT_Max" localSheetId="24">#REF!</definedName>
    <definedName name="z_Op_EBIT_Max" localSheetId="25">#REF!</definedName>
    <definedName name="z_Op_EBIT_Max">#REF!</definedName>
    <definedName name="z_Op_EBIT_Mean" localSheetId="9">#REF!</definedName>
    <definedName name="z_Op_EBIT_Mean" localSheetId="10">#REF!</definedName>
    <definedName name="z_Op_EBIT_Mean" localSheetId="23">#REF!</definedName>
    <definedName name="z_Op_EBIT_Mean" localSheetId="24">#REF!</definedName>
    <definedName name="z_Op_EBIT_Mean" localSheetId="25">#REF!</definedName>
    <definedName name="z_Op_EBIT_Mean">#REF!</definedName>
    <definedName name="z_Op_EBIT_Mean_cal" localSheetId="9">#REF!</definedName>
    <definedName name="z_Op_EBIT_Mean_cal" localSheetId="10">#REF!</definedName>
    <definedName name="z_Op_EBIT_Mean_cal" localSheetId="23">#REF!</definedName>
    <definedName name="z_Op_EBIT_Mean_cal" localSheetId="24">#REF!</definedName>
    <definedName name="z_Op_EBIT_Mean_cal" localSheetId="25">#REF!</definedName>
    <definedName name="z_Op_EBIT_Mean_cal">#REF!</definedName>
    <definedName name="z_Op_EBIT_Min" localSheetId="9">#REF!</definedName>
    <definedName name="z_Op_EBIT_Min" localSheetId="10">#REF!</definedName>
    <definedName name="z_Op_EBIT_Min" localSheetId="23">#REF!</definedName>
    <definedName name="z_Op_EBIT_Min" localSheetId="24">#REF!</definedName>
    <definedName name="z_Op_EBIT_Min" localSheetId="25">#REF!</definedName>
    <definedName name="z_Op_EBIT_Min">#REF!</definedName>
    <definedName name="z_Op_EBIT_Name" localSheetId="9">#REF!</definedName>
    <definedName name="z_Op_EBIT_Name" localSheetId="10">#REF!</definedName>
    <definedName name="z_Op_EBIT_Name" localSheetId="23">#REF!</definedName>
    <definedName name="z_Op_EBIT_Name" localSheetId="24">#REF!</definedName>
    <definedName name="z_Op_EBIT_Name" localSheetId="25">#REF!</definedName>
    <definedName name="z_Op_EBIT_Name">#REF!</definedName>
    <definedName name="z_Op_EBIT2" localSheetId="9">#REF!</definedName>
    <definedName name="z_Op_EBIT2" localSheetId="10">#REF!</definedName>
    <definedName name="z_Op_EBIT2" localSheetId="23">#REF!</definedName>
    <definedName name="z_Op_EBIT2" localSheetId="24">#REF!</definedName>
    <definedName name="z_Op_EBIT2" localSheetId="25">#REF!</definedName>
    <definedName name="z_Op_EBIT2">#REF!</definedName>
    <definedName name="z_Op_EBITDA" localSheetId="9">#REF!</definedName>
    <definedName name="z_Op_EBITDA" localSheetId="10">#REF!</definedName>
    <definedName name="z_Op_EBITDA" localSheetId="23">#REF!</definedName>
    <definedName name="z_Op_EBITDA" localSheetId="24">#REF!</definedName>
    <definedName name="z_Op_EBITDA" localSheetId="25">#REF!</definedName>
    <definedName name="z_Op_EBITDA">#REF!</definedName>
    <definedName name="z_Op_EBITDA_Increm" localSheetId="9">#REF!</definedName>
    <definedName name="z_Op_EBITDA_Increm" localSheetId="10">#REF!</definedName>
    <definedName name="z_Op_EBITDA_Increm" localSheetId="23">#REF!</definedName>
    <definedName name="z_Op_EBITDA_Increm" localSheetId="24">#REF!</definedName>
    <definedName name="z_Op_EBITDA_Increm" localSheetId="25">#REF!</definedName>
    <definedName name="z_Op_EBITDA_Increm">#REF!</definedName>
    <definedName name="z_Op_EBITDA_Max" localSheetId="9">#REF!</definedName>
    <definedName name="z_Op_EBITDA_Max" localSheetId="10">#REF!</definedName>
    <definedName name="z_Op_EBITDA_Max" localSheetId="23">#REF!</definedName>
    <definedName name="z_Op_EBITDA_Max" localSheetId="24">#REF!</definedName>
    <definedName name="z_Op_EBITDA_Max" localSheetId="25">#REF!</definedName>
    <definedName name="z_Op_EBITDA_Max">#REF!</definedName>
    <definedName name="z_Op_EBITDA_Mean" localSheetId="9">#REF!</definedName>
    <definedName name="z_Op_EBITDA_Mean" localSheetId="10">#REF!</definedName>
    <definedName name="z_Op_EBITDA_Mean" localSheetId="23">#REF!</definedName>
    <definedName name="z_Op_EBITDA_Mean" localSheetId="24">#REF!</definedName>
    <definedName name="z_Op_EBITDA_Mean" localSheetId="25">#REF!</definedName>
    <definedName name="z_Op_EBITDA_Mean">#REF!</definedName>
    <definedName name="z_Op_EBITDA_Mean_cal" localSheetId="9">#REF!</definedName>
    <definedName name="z_Op_EBITDA_Mean_cal" localSheetId="10">#REF!</definedName>
    <definedName name="z_Op_EBITDA_Mean_cal" localSheetId="23">#REF!</definedName>
    <definedName name="z_Op_EBITDA_Mean_cal" localSheetId="24">#REF!</definedName>
    <definedName name="z_Op_EBITDA_Mean_cal" localSheetId="25">#REF!</definedName>
    <definedName name="z_Op_EBITDA_Mean_cal">#REF!</definedName>
    <definedName name="z_Op_EBITDA_Min" localSheetId="9">#REF!</definedName>
    <definedName name="z_Op_EBITDA_Min" localSheetId="10">#REF!</definedName>
    <definedName name="z_Op_EBITDA_Min" localSheetId="23">#REF!</definedName>
    <definedName name="z_Op_EBITDA_Min" localSheetId="24">#REF!</definedName>
    <definedName name="z_Op_EBITDA_Min" localSheetId="25">#REF!</definedName>
    <definedName name="z_Op_EBITDA_Min">#REF!</definedName>
    <definedName name="z_Op_EBITDA_Name" localSheetId="9">#REF!</definedName>
    <definedName name="z_Op_EBITDA_Name" localSheetId="10">#REF!</definedName>
    <definedName name="z_Op_EBITDA_Name" localSheetId="23">#REF!</definedName>
    <definedName name="z_Op_EBITDA_Name" localSheetId="24">#REF!</definedName>
    <definedName name="z_Op_EBITDA_Name" localSheetId="25">#REF!</definedName>
    <definedName name="z_Op_EBITDA_Name">#REF!</definedName>
    <definedName name="z_Op_EBITDA2" localSheetId="9">#REF!</definedName>
    <definedName name="z_Op_EBITDA2" localSheetId="10">#REF!</definedName>
    <definedName name="z_Op_EBITDA2" localSheetId="23">#REF!</definedName>
    <definedName name="z_Op_EBITDA2" localSheetId="24">#REF!</definedName>
    <definedName name="z_Op_EBITDA2" localSheetId="25">#REF!</definedName>
    <definedName name="z_Op_EBITDA2">#REF!</definedName>
    <definedName name="z_Op_NI" localSheetId="9">#REF!</definedName>
    <definedName name="z_Op_NI" localSheetId="10">#REF!</definedName>
    <definedName name="z_Op_NI" localSheetId="23">#REF!</definedName>
    <definedName name="z_Op_NI" localSheetId="24">#REF!</definedName>
    <definedName name="z_Op_NI" localSheetId="25">#REF!</definedName>
    <definedName name="z_Op_NI">#REF!</definedName>
    <definedName name="z_Op_NI_Increm" localSheetId="9">#REF!</definedName>
    <definedName name="z_Op_NI_Increm" localSheetId="10">#REF!</definedName>
    <definedName name="z_Op_NI_Increm" localSheetId="23">#REF!</definedName>
    <definedName name="z_Op_NI_Increm" localSheetId="24">#REF!</definedName>
    <definedName name="z_Op_NI_Increm" localSheetId="25">#REF!</definedName>
    <definedName name="z_Op_NI_Increm">#REF!</definedName>
    <definedName name="z_Op_NI_Max" localSheetId="9">#REF!</definedName>
    <definedName name="z_Op_NI_Max" localSheetId="10">#REF!</definedName>
    <definedName name="z_Op_NI_Max" localSheetId="23">#REF!</definedName>
    <definedName name="z_Op_NI_Max" localSheetId="24">#REF!</definedName>
    <definedName name="z_Op_NI_Max" localSheetId="25">#REF!</definedName>
    <definedName name="z_Op_NI_Max">#REF!</definedName>
    <definedName name="z_Op_NI_Mean" localSheetId="9">#REF!</definedName>
    <definedName name="z_Op_NI_Mean" localSheetId="10">#REF!</definedName>
    <definedName name="z_Op_NI_Mean" localSheetId="23">#REF!</definedName>
    <definedName name="z_Op_NI_Mean" localSheetId="24">#REF!</definedName>
    <definedName name="z_Op_NI_Mean" localSheetId="25">#REF!</definedName>
    <definedName name="z_Op_NI_Mean">#REF!</definedName>
    <definedName name="z_Op_NI_Mean_cal" localSheetId="9">#REF!</definedName>
    <definedName name="z_Op_NI_Mean_cal" localSheetId="10">#REF!</definedName>
    <definedName name="z_Op_NI_Mean_cal" localSheetId="23">#REF!</definedName>
    <definedName name="z_Op_NI_Mean_cal" localSheetId="24">#REF!</definedName>
    <definedName name="z_Op_NI_Mean_cal" localSheetId="25">#REF!</definedName>
    <definedName name="z_Op_NI_Mean_cal">#REF!</definedName>
    <definedName name="z_Op_NI_Min" localSheetId="9">#REF!</definedName>
    <definedName name="z_Op_NI_Min" localSheetId="10">#REF!</definedName>
    <definedName name="z_Op_NI_Min" localSheetId="23">#REF!</definedName>
    <definedName name="z_Op_NI_Min" localSheetId="24">#REF!</definedName>
    <definedName name="z_Op_NI_Min" localSheetId="25">#REF!</definedName>
    <definedName name="z_Op_NI_Min">#REF!</definedName>
    <definedName name="z_Op_NI_Name" localSheetId="9">#REF!</definedName>
    <definedName name="z_Op_NI_Name" localSheetId="10">#REF!</definedName>
    <definedName name="z_Op_NI_Name" localSheetId="23">#REF!</definedName>
    <definedName name="z_Op_NI_Name" localSheetId="24">#REF!</definedName>
    <definedName name="z_Op_NI_Name" localSheetId="25">#REF!</definedName>
    <definedName name="z_Op_NI_Name">#REF!</definedName>
    <definedName name="z_Op_NI2" localSheetId="9">#REF!</definedName>
    <definedName name="z_Op_NI2" localSheetId="10">#REF!</definedName>
    <definedName name="z_Op_NI2" localSheetId="23">#REF!</definedName>
    <definedName name="z_Op_NI2" localSheetId="24">#REF!</definedName>
    <definedName name="z_Op_NI2" localSheetId="25">#REF!</definedName>
    <definedName name="z_Op_NI2">#REF!</definedName>
    <definedName name="z_Op_Revenues" localSheetId="9">#REF!</definedName>
    <definedName name="z_Op_Revenues" localSheetId="10">#REF!</definedName>
    <definedName name="z_Op_Revenues" localSheetId="23">#REF!</definedName>
    <definedName name="z_Op_Revenues" localSheetId="24">#REF!</definedName>
    <definedName name="z_Op_Revenues" localSheetId="25">#REF!</definedName>
    <definedName name="z_Op_Revenues">#REF!</definedName>
    <definedName name="z_Op_Revenues_Increm" localSheetId="9">#REF!</definedName>
    <definedName name="z_Op_Revenues_Increm" localSheetId="10">#REF!</definedName>
    <definedName name="z_Op_Revenues_Increm" localSheetId="23">#REF!</definedName>
    <definedName name="z_Op_Revenues_Increm" localSheetId="24">#REF!</definedName>
    <definedName name="z_Op_Revenues_Increm" localSheetId="25">#REF!</definedName>
    <definedName name="z_Op_Revenues_Increm">#REF!</definedName>
    <definedName name="z_Op_Revenues_Max" localSheetId="9">#REF!</definedName>
    <definedName name="z_Op_Revenues_Max" localSheetId="10">#REF!</definedName>
    <definedName name="z_Op_Revenues_Max" localSheetId="23">#REF!</definedName>
    <definedName name="z_Op_Revenues_Max" localSheetId="24">#REF!</definedName>
    <definedName name="z_Op_Revenues_Max" localSheetId="25">#REF!</definedName>
    <definedName name="z_Op_Revenues_Max">#REF!</definedName>
    <definedName name="z_Op_Revenues_Mean" localSheetId="9">#REF!</definedName>
    <definedName name="z_Op_Revenues_Mean" localSheetId="10">#REF!</definedName>
    <definedName name="z_Op_Revenues_Mean" localSheetId="23">#REF!</definedName>
    <definedName name="z_Op_Revenues_Mean" localSheetId="24">#REF!</definedName>
    <definedName name="z_Op_Revenues_Mean" localSheetId="25">#REF!</definedName>
    <definedName name="z_Op_Revenues_Mean">#REF!</definedName>
    <definedName name="z_Op_Revenues_Mean_cal" localSheetId="9">#REF!</definedName>
    <definedName name="z_Op_Revenues_Mean_cal" localSheetId="10">#REF!</definedName>
    <definedName name="z_Op_Revenues_Mean_cal" localSheetId="23">#REF!</definedName>
    <definedName name="z_Op_Revenues_Mean_cal" localSheetId="24">#REF!</definedName>
    <definedName name="z_Op_Revenues_Mean_cal" localSheetId="25">#REF!</definedName>
    <definedName name="z_Op_Revenues_Mean_cal">#REF!</definedName>
    <definedName name="z_Op_Revenues_Min" localSheetId="9">#REF!</definedName>
    <definedName name="z_Op_Revenues_Min" localSheetId="10">#REF!</definedName>
    <definedName name="z_Op_Revenues_Min" localSheetId="23">#REF!</definedName>
    <definedName name="z_Op_Revenues_Min" localSheetId="24">#REF!</definedName>
    <definedName name="z_Op_Revenues_Min" localSheetId="25">#REF!</definedName>
    <definedName name="z_Op_Revenues_Min">#REF!</definedName>
    <definedName name="z_Op_Revenues_Name" localSheetId="9">#REF!</definedName>
    <definedName name="z_Op_Revenues_Name" localSheetId="10">#REF!</definedName>
    <definedName name="z_Op_Revenues_Name" localSheetId="23">#REF!</definedName>
    <definedName name="z_Op_Revenues_Name" localSheetId="24">#REF!</definedName>
    <definedName name="z_Op_Revenues_Name" localSheetId="25">#REF!</definedName>
    <definedName name="z_Op_Revenues_Name">#REF!</definedName>
    <definedName name="z_Op_Revenues2" localSheetId="9">#REF!</definedName>
    <definedName name="z_Op_Revenues2" localSheetId="10">#REF!</definedName>
    <definedName name="z_Op_Revenues2" localSheetId="23">#REF!</definedName>
    <definedName name="z_Op_Revenues2" localSheetId="24">#REF!</definedName>
    <definedName name="z_Op_Revenues2" localSheetId="25">#REF!</definedName>
    <definedName name="z_Op_Revenues2">#REF!</definedName>
    <definedName name="z_Printarea">[10]Main!$H$8:$S$56,[10]Main!$H$16:$S$132</definedName>
    <definedName name="z_Project_Name" localSheetId="9">[10]Main!#REF!</definedName>
    <definedName name="z_Project_Name" localSheetId="10">[10]Main!#REF!</definedName>
    <definedName name="z_Project_Name" localSheetId="23">[10]Main!#REF!</definedName>
    <definedName name="z_Project_Name" localSheetId="24">[10]Main!#REF!</definedName>
    <definedName name="z_Project_Name" localSheetId="25">[10]Main!#REF!</definedName>
    <definedName name="z_Project_Name">[10]Main!#REF!</definedName>
    <definedName name="z_Range" localSheetId="9">#REF!</definedName>
    <definedName name="z_Range" localSheetId="10">#REF!</definedName>
    <definedName name="z_Range" localSheetId="23">#REF!</definedName>
    <definedName name="z_Range" localSheetId="24">#REF!</definedName>
    <definedName name="z_Range" localSheetId="25">#REF!</definedName>
    <definedName name="z_Range">#REF!</definedName>
    <definedName name="z_Row_Clear" localSheetId="9">#REF!</definedName>
    <definedName name="z_Row_Clear" localSheetId="10">#REF!</definedName>
    <definedName name="z_Row_Clear" localSheetId="23">#REF!</definedName>
    <definedName name="z_Row_Clear" localSheetId="24">#REF!</definedName>
    <definedName name="z_Row_Clear" localSheetId="25">#REF!</definedName>
    <definedName name="z_Row_Clear">#REF!</definedName>
    <definedName name="z_Row_End" localSheetId="9">#REF!</definedName>
    <definedName name="z_Row_End" localSheetId="10">#REF!</definedName>
    <definedName name="z_Row_End" localSheetId="23">#REF!</definedName>
    <definedName name="z_Row_End" localSheetId="24">#REF!</definedName>
    <definedName name="z_Row_End" localSheetId="25">#REF!</definedName>
    <definedName name="z_Row_End">#REF!</definedName>
    <definedName name="z_Row1" localSheetId="9">#REF!</definedName>
    <definedName name="z_Row1" localSheetId="10">#REF!</definedName>
    <definedName name="z_Row1" localSheetId="23">#REF!</definedName>
    <definedName name="z_Row1" localSheetId="24">#REF!</definedName>
    <definedName name="z_Row1" localSheetId="25">#REF!</definedName>
    <definedName name="z_Row1">#REF!</definedName>
    <definedName name="z_Row14" localSheetId="9">#REF!,#REF!</definedName>
    <definedName name="z_Row14" localSheetId="10">#REF!,#REF!</definedName>
    <definedName name="z_Row14" localSheetId="23">#REF!,#REF!</definedName>
    <definedName name="z_Row14" localSheetId="24">#REF!,#REF!</definedName>
    <definedName name="z_Row14" localSheetId="25">#REF!,#REF!</definedName>
    <definedName name="z_Row14">#REF!,#REF!</definedName>
    <definedName name="z_Row15" localSheetId="9">#REF!,#REF!</definedName>
    <definedName name="z_Row15" localSheetId="10">#REF!,#REF!</definedName>
    <definedName name="z_Row15" localSheetId="23">#REF!,#REF!</definedName>
    <definedName name="z_Row15" localSheetId="24">#REF!,#REF!</definedName>
    <definedName name="z_Row15" localSheetId="25">#REF!,#REF!</definedName>
    <definedName name="z_Row15">#REF!,#REF!</definedName>
    <definedName name="z_Row16" localSheetId="9">#REF!,#REF!</definedName>
    <definedName name="z_Row16" localSheetId="10">#REF!,#REF!</definedName>
    <definedName name="z_Row16" localSheetId="23">#REF!,#REF!</definedName>
    <definedName name="z_Row16" localSheetId="24">#REF!,#REF!</definedName>
    <definedName name="z_Row16" localSheetId="25">#REF!,#REF!</definedName>
    <definedName name="z_Row16">#REF!,#REF!</definedName>
    <definedName name="z_Row17" localSheetId="9">#REF!</definedName>
    <definedName name="z_Row17" localSheetId="10">#REF!</definedName>
    <definedName name="z_Row17" localSheetId="23">#REF!</definedName>
    <definedName name="z_Row17" localSheetId="24">#REF!</definedName>
    <definedName name="z_Row17" localSheetId="25">#REF!</definedName>
    <definedName name="z_Row17">#REF!</definedName>
    <definedName name="z_Row18" localSheetId="9">#REF!</definedName>
    <definedName name="z_Row18" localSheetId="10">#REF!</definedName>
    <definedName name="z_Row18" localSheetId="23">#REF!</definedName>
    <definedName name="z_Row18" localSheetId="24">#REF!</definedName>
    <definedName name="z_Row18" localSheetId="25">#REF!</definedName>
    <definedName name="z_Row18">#REF!</definedName>
    <definedName name="z_Row19" localSheetId="9">#REF!</definedName>
    <definedName name="z_Row19" localSheetId="10">#REF!</definedName>
    <definedName name="z_Row19" localSheetId="23">#REF!</definedName>
    <definedName name="z_Row19" localSheetId="24">#REF!</definedName>
    <definedName name="z_Row19" localSheetId="25">#REF!</definedName>
    <definedName name="z_Row19">#REF!</definedName>
    <definedName name="z_rw_End" localSheetId="9">#REF!</definedName>
    <definedName name="z_rw_End" localSheetId="10">#REF!</definedName>
    <definedName name="z_rw_End" localSheetId="23">#REF!</definedName>
    <definedName name="z_rw_End" localSheetId="24">#REF!</definedName>
    <definedName name="z_rw_End" localSheetId="25">#REF!</definedName>
    <definedName name="z_rw_End">#REF!</definedName>
    <definedName name="z_TEV_LTM_EBIT" localSheetId="9">#REF!</definedName>
    <definedName name="z_TEV_LTM_EBIT" localSheetId="10">#REF!</definedName>
    <definedName name="z_TEV_LTM_EBIT" localSheetId="23">#REF!</definedName>
    <definedName name="z_TEV_LTM_EBIT" localSheetId="24">#REF!</definedName>
    <definedName name="z_TEV_LTM_EBIT" localSheetId="25">#REF!</definedName>
    <definedName name="z_TEV_LTM_EBIT">#REF!</definedName>
    <definedName name="z_TEV_LTM_EBIT_Increm" localSheetId="9">#REF!</definedName>
    <definedName name="z_TEV_LTM_EBIT_Increm" localSheetId="10">#REF!</definedName>
    <definedName name="z_TEV_LTM_EBIT_Increm" localSheetId="23">#REF!</definedName>
    <definedName name="z_TEV_LTM_EBIT_Increm" localSheetId="24">#REF!</definedName>
    <definedName name="z_TEV_LTM_EBIT_Increm" localSheetId="25">#REF!</definedName>
    <definedName name="z_TEV_LTM_EBIT_Increm">#REF!</definedName>
    <definedName name="z_TEV_LTM_EBIT_Max" localSheetId="9">#REF!</definedName>
    <definedName name="z_TEV_LTM_EBIT_Max" localSheetId="10">#REF!</definedName>
    <definedName name="z_TEV_LTM_EBIT_Max" localSheetId="23">#REF!</definedName>
    <definedName name="z_TEV_LTM_EBIT_Max" localSheetId="24">#REF!</definedName>
    <definedName name="z_TEV_LTM_EBIT_Max" localSheetId="25">#REF!</definedName>
    <definedName name="z_TEV_LTM_EBIT_Max">#REF!</definedName>
    <definedName name="z_TEV_LTM_EBIT_Mean" localSheetId="9">#REF!</definedName>
    <definedName name="z_TEV_LTM_EBIT_Mean" localSheetId="10">#REF!</definedName>
    <definedName name="z_TEV_LTM_EBIT_Mean" localSheetId="23">#REF!</definedName>
    <definedName name="z_TEV_LTM_EBIT_Mean" localSheetId="24">#REF!</definedName>
    <definedName name="z_TEV_LTM_EBIT_Mean" localSheetId="25">#REF!</definedName>
    <definedName name="z_TEV_LTM_EBIT_Mean">#REF!</definedName>
    <definedName name="z_TEV_LTM_EBIT_Mean_cal" localSheetId="9">#REF!</definedName>
    <definedName name="z_TEV_LTM_EBIT_Mean_cal" localSheetId="10">#REF!</definedName>
    <definedName name="z_TEV_LTM_EBIT_Mean_cal" localSheetId="23">#REF!</definedName>
    <definedName name="z_TEV_LTM_EBIT_Mean_cal" localSheetId="24">#REF!</definedName>
    <definedName name="z_TEV_LTM_EBIT_Mean_cal" localSheetId="25">#REF!</definedName>
    <definedName name="z_TEV_LTM_EBIT_Mean_cal">#REF!</definedName>
    <definedName name="z_TEV_LTM_EBIT_Min" localSheetId="9">#REF!</definedName>
    <definedName name="z_TEV_LTM_EBIT_Min" localSheetId="10">#REF!</definedName>
    <definedName name="z_TEV_LTM_EBIT_Min" localSheetId="23">#REF!</definedName>
    <definedName name="z_TEV_LTM_EBIT_Min" localSheetId="24">#REF!</definedName>
    <definedName name="z_TEV_LTM_EBIT_Min" localSheetId="25">#REF!</definedName>
    <definedName name="z_TEV_LTM_EBIT_Min">#REF!</definedName>
    <definedName name="z_TEV_LTM_EBIT_Name" localSheetId="9">#REF!</definedName>
    <definedName name="z_TEV_LTM_EBIT_Name" localSheetId="10">#REF!</definedName>
    <definedName name="z_TEV_LTM_EBIT_Name" localSheetId="23">#REF!</definedName>
    <definedName name="z_TEV_LTM_EBIT_Name" localSheetId="24">#REF!</definedName>
    <definedName name="z_TEV_LTM_EBIT_Name" localSheetId="25">#REF!</definedName>
    <definedName name="z_TEV_LTM_EBIT_Name">#REF!</definedName>
    <definedName name="z_TEV_LTM_EBIT2" localSheetId="9">#REF!</definedName>
    <definedName name="z_TEV_LTM_EBIT2" localSheetId="10">#REF!</definedName>
    <definedName name="z_TEV_LTM_EBIT2" localSheetId="23">#REF!</definedName>
    <definedName name="z_TEV_LTM_EBIT2" localSheetId="24">#REF!</definedName>
    <definedName name="z_TEV_LTM_EBIT2" localSheetId="25">#REF!</definedName>
    <definedName name="z_TEV_LTM_EBIT2">#REF!</definedName>
    <definedName name="z_TEV_LTM_EBITDA" localSheetId="9">#REF!</definedName>
    <definedName name="z_TEV_LTM_EBITDA" localSheetId="10">#REF!</definedName>
    <definedName name="z_TEV_LTM_EBITDA" localSheetId="23">#REF!</definedName>
    <definedName name="z_TEV_LTM_EBITDA" localSheetId="24">#REF!</definedName>
    <definedName name="z_TEV_LTM_EBITDA" localSheetId="25">#REF!</definedName>
    <definedName name="z_TEV_LTM_EBITDA">#REF!</definedName>
    <definedName name="z_TEV_LTM_EBITDA_Increm" localSheetId="9">#REF!</definedName>
    <definedName name="z_TEV_LTM_EBITDA_Increm" localSheetId="10">#REF!</definedName>
    <definedName name="z_TEV_LTM_EBITDA_Increm" localSheetId="23">#REF!</definedName>
    <definedName name="z_TEV_LTM_EBITDA_Increm" localSheetId="24">#REF!</definedName>
    <definedName name="z_TEV_LTM_EBITDA_Increm" localSheetId="25">#REF!</definedName>
    <definedName name="z_TEV_LTM_EBITDA_Increm">#REF!</definedName>
    <definedName name="z_TEV_LTM_EBITDA_Max" localSheetId="9">#REF!</definedName>
    <definedName name="z_TEV_LTM_EBITDA_Max" localSheetId="10">#REF!</definedName>
    <definedName name="z_TEV_LTM_EBITDA_Max" localSheetId="23">#REF!</definedName>
    <definedName name="z_TEV_LTM_EBITDA_Max" localSheetId="24">#REF!</definedName>
    <definedName name="z_TEV_LTM_EBITDA_Max" localSheetId="25">#REF!</definedName>
    <definedName name="z_TEV_LTM_EBITDA_Max">#REF!</definedName>
    <definedName name="z_TEV_LTM_EBITDA_Mean" localSheetId="9">#REF!</definedName>
    <definedName name="z_TEV_LTM_EBITDA_Mean" localSheetId="10">#REF!</definedName>
    <definedName name="z_TEV_LTM_EBITDA_Mean" localSheetId="23">#REF!</definedName>
    <definedName name="z_TEV_LTM_EBITDA_Mean" localSheetId="24">#REF!</definedName>
    <definedName name="z_TEV_LTM_EBITDA_Mean" localSheetId="25">#REF!</definedName>
    <definedName name="z_TEV_LTM_EBITDA_Mean">#REF!</definedName>
    <definedName name="z_TEV_LTM_EBITDA_Mean_cal" localSheetId="9">#REF!</definedName>
    <definedName name="z_TEV_LTM_EBITDA_Mean_cal" localSheetId="10">#REF!</definedName>
    <definedName name="z_TEV_LTM_EBITDA_Mean_cal" localSheetId="23">#REF!</definedName>
    <definedName name="z_TEV_LTM_EBITDA_Mean_cal" localSheetId="24">#REF!</definedName>
    <definedName name="z_TEV_LTM_EBITDA_Mean_cal" localSheetId="25">#REF!</definedName>
    <definedName name="z_TEV_LTM_EBITDA_Mean_cal">#REF!</definedName>
    <definedName name="z_TEV_LTM_EBITDA_Min" localSheetId="9">#REF!</definedName>
    <definedName name="z_TEV_LTM_EBITDA_Min" localSheetId="10">#REF!</definedName>
    <definedName name="z_TEV_LTM_EBITDA_Min" localSheetId="23">#REF!</definedName>
    <definedName name="z_TEV_LTM_EBITDA_Min" localSheetId="24">#REF!</definedName>
    <definedName name="z_TEV_LTM_EBITDA_Min" localSheetId="25">#REF!</definedName>
    <definedName name="z_TEV_LTM_EBITDA_Min">#REF!</definedName>
    <definedName name="z_TEV_LTM_EBITDA_Name" localSheetId="9">#REF!</definedName>
    <definedName name="z_TEV_LTM_EBITDA_Name" localSheetId="10">#REF!</definedName>
    <definedName name="z_TEV_LTM_EBITDA_Name" localSheetId="23">#REF!</definedName>
    <definedName name="z_TEV_LTM_EBITDA_Name" localSheetId="24">#REF!</definedName>
    <definedName name="z_TEV_LTM_EBITDA_Name" localSheetId="25">#REF!</definedName>
    <definedName name="z_TEV_LTM_EBITDA_Name">#REF!</definedName>
    <definedName name="z_TEV_LTM_EBITDA2" localSheetId="9">#REF!</definedName>
    <definedName name="z_TEV_LTM_EBITDA2" localSheetId="10">#REF!</definedName>
    <definedName name="z_TEV_LTM_EBITDA2" localSheetId="23">#REF!</definedName>
    <definedName name="z_TEV_LTM_EBITDA2" localSheetId="24">#REF!</definedName>
    <definedName name="z_TEV_LTM_EBITDA2" localSheetId="25">#REF!</definedName>
    <definedName name="z_TEV_LTM_EBITDA2">#REF!</definedName>
    <definedName name="z_TEV_LTM_LTM_NI" localSheetId="9">#REF!</definedName>
    <definedName name="z_TEV_LTM_LTM_NI" localSheetId="10">#REF!</definedName>
    <definedName name="z_TEV_LTM_LTM_NI" localSheetId="23">#REF!</definedName>
    <definedName name="z_TEV_LTM_LTM_NI" localSheetId="24">#REF!</definedName>
    <definedName name="z_TEV_LTM_LTM_NI" localSheetId="25">#REF!</definedName>
    <definedName name="z_TEV_LTM_LTM_NI">#REF!</definedName>
    <definedName name="z_TEV_LTM_LTM_NI_Increm" localSheetId="9">#REF!</definedName>
    <definedName name="z_TEV_LTM_LTM_NI_Increm" localSheetId="10">#REF!</definedName>
    <definedName name="z_TEV_LTM_LTM_NI_Increm" localSheetId="23">#REF!</definedName>
    <definedName name="z_TEV_LTM_LTM_NI_Increm" localSheetId="24">#REF!</definedName>
    <definedName name="z_TEV_LTM_LTM_NI_Increm" localSheetId="25">#REF!</definedName>
    <definedName name="z_TEV_LTM_LTM_NI_Increm">#REF!</definedName>
    <definedName name="z_TEV_LTM_LTM_NI_Max" localSheetId="9">#REF!</definedName>
    <definedName name="z_TEV_LTM_LTM_NI_Max" localSheetId="10">#REF!</definedName>
    <definedName name="z_TEV_LTM_LTM_NI_Max" localSheetId="23">#REF!</definedName>
    <definedName name="z_TEV_LTM_LTM_NI_Max" localSheetId="24">#REF!</definedName>
    <definedName name="z_TEV_LTM_LTM_NI_Max" localSheetId="25">#REF!</definedName>
    <definedName name="z_TEV_LTM_LTM_NI_Max">#REF!</definedName>
    <definedName name="z_TEV_LTM_LTM_NI_Mean" localSheetId="9">#REF!</definedName>
    <definedName name="z_TEV_LTM_LTM_NI_Mean" localSheetId="10">#REF!</definedName>
    <definedName name="z_TEV_LTM_LTM_NI_Mean" localSheetId="23">#REF!</definedName>
    <definedName name="z_TEV_LTM_LTM_NI_Mean" localSheetId="24">#REF!</definedName>
    <definedName name="z_TEV_LTM_LTM_NI_Mean" localSheetId="25">#REF!</definedName>
    <definedName name="z_TEV_LTM_LTM_NI_Mean">#REF!</definedName>
    <definedName name="z_TEV_LTM_LTM_NI_Mean_cal" localSheetId="9">#REF!</definedName>
    <definedName name="z_TEV_LTM_LTM_NI_Mean_cal" localSheetId="10">#REF!</definedName>
    <definedName name="z_TEV_LTM_LTM_NI_Mean_cal" localSheetId="23">#REF!</definedName>
    <definedName name="z_TEV_LTM_LTM_NI_Mean_cal" localSheetId="24">#REF!</definedName>
    <definedName name="z_TEV_LTM_LTM_NI_Mean_cal" localSheetId="25">#REF!</definedName>
    <definedName name="z_TEV_LTM_LTM_NI_Mean_cal">#REF!</definedName>
    <definedName name="z_TEV_LTM_LTM_NI_Min" localSheetId="9">#REF!</definedName>
    <definedName name="z_TEV_LTM_LTM_NI_Min" localSheetId="10">#REF!</definedName>
    <definedName name="z_TEV_LTM_LTM_NI_Min" localSheetId="23">#REF!</definedName>
    <definedName name="z_TEV_LTM_LTM_NI_Min" localSheetId="24">#REF!</definedName>
    <definedName name="z_TEV_LTM_LTM_NI_Min" localSheetId="25">#REF!</definedName>
    <definedName name="z_TEV_LTM_LTM_NI_Min">#REF!</definedName>
    <definedName name="z_TEV_LTM_LTM_NI_Name" localSheetId="9">#REF!</definedName>
    <definedName name="z_TEV_LTM_LTM_NI_Name" localSheetId="10">#REF!</definedName>
    <definedName name="z_TEV_LTM_LTM_NI_Name" localSheetId="23">#REF!</definedName>
    <definedName name="z_TEV_LTM_LTM_NI_Name" localSheetId="24">#REF!</definedName>
    <definedName name="z_TEV_LTM_LTM_NI_Name" localSheetId="25">#REF!</definedName>
    <definedName name="z_TEV_LTM_LTM_NI_Name">#REF!</definedName>
    <definedName name="z_TEV_LTM_LTM_NI2" localSheetId="9">#REF!</definedName>
    <definedName name="z_TEV_LTM_LTM_NI2" localSheetId="10">#REF!</definedName>
    <definedName name="z_TEV_LTM_LTM_NI2" localSheetId="23">#REF!</definedName>
    <definedName name="z_TEV_LTM_LTM_NI2" localSheetId="24">#REF!</definedName>
    <definedName name="z_TEV_LTM_LTM_NI2" localSheetId="25">#REF!</definedName>
    <definedName name="z_TEV_LTM_LTM_NI2">#REF!</definedName>
    <definedName name="z_TEV_LTM_Revenues" localSheetId="9">#REF!</definedName>
    <definedName name="z_TEV_LTM_Revenues" localSheetId="10">#REF!</definedName>
    <definedName name="z_TEV_LTM_Revenues" localSheetId="23">#REF!</definedName>
    <definedName name="z_TEV_LTM_Revenues" localSheetId="24">#REF!</definedName>
    <definedName name="z_TEV_LTM_Revenues" localSheetId="25">#REF!</definedName>
    <definedName name="z_TEV_LTM_Revenues">#REF!</definedName>
    <definedName name="z_TEV_LTM_Revenues_Increm" localSheetId="9">#REF!</definedName>
    <definedName name="z_TEV_LTM_Revenues_Increm" localSheetId="10">#REF!</definedName>
    <definedName name="z_TEV_LTM_Revenues_Increm" localSheetId="23">#REF!</definedName>
    <definedName name="z_TEV_LTM_Revenues_Increm" localSheetId="24">#REF!</definedName>
    <definedName name="z_TEV_LTM_Revenues_Increm" localSheetId="25">#REF!</definedName>
    <definedName name="z_TEV_LTM_Revenues_Increm">#REF!</definedName>
    <definedName name="z_TEV_LTM_Revenues_Max" localSheetId="9">#REF!</definedName>
    <definedName name="z_TEV_LTM_Revenues_Max" localSheetId="10">#REF!</definedName>
    <definedName name="z_TEV_LTM_Revenues_Max" localSheetId="23">#REF!</definedName>
    <definedName name="z_TEV_LTM_Revenues_Max" localSheetId="24">#REF!</definedName>
    <definedName name="z_TEV_LTM_Revenues_Max" localSheetId="25">#REF!</definedName>
    <definedName name="z_TEV_LTM_Revenues_Max">#REF!</definedName>
    <definedName name="z_TEV_LTM_Revenues_Mean" localSheetId="9">#REF!</definedName>
    <definedName name="z_TEV_LTM_Revenues_Mean" localSheetId="10">#REF!</definedName>
    <definedName name="z_TEV_LTM_Revenues_Mean" localSheetId="23">#REF!</definedName>
    <definedName name="z_TEV_LTM_Revenues_Mean" localSheetId="24">#REF!</definedName>
    <definedName name="z_TEV_LTM_Revenues_Mean" localSheetId="25">#REF!</definedName>
    <definedName name="z_TEV_LTM_Revenues_Mean">#REF!</definedName>
    <definedName name="z_TEV_LTM_Revenues_Mean_cal" localSheetId="9">#REF!</definedName>
    <definedName name="z_TEV_LTM_Revenues_Mean_cal" localSheetId="10">#REF!</definedName>
    <definedName name="z_TEV_LTM_Revenues_Mean_cal" localSheetId="23">#REF!</definedName>
    <definedName name="z_TEV_LTM_Revenues_Mean_cal" localSheetId="24">#REF!</definedName>
    <definedName name="z_TEV_LTM_Revenues_Mean_cal" localSheetId="25">#REF!</definedName>
    <definedName name="z_TEV_LTM_Revenues_Mean_cal">#REF!</definedName>
    <definedName name="z_TEV_LTM_Revenues_Min" localSheetId="9">#REF!</definedName>
    <definedName name="z_TEV_LTM_Revenues_Min" localSheetId="10">#REF!</definedName>
    <definedName name="z_TEV_LTM_Revenues_Min" localSheetId="23">#REF!</definedName>
    <definedName name="z_TEV_LTM_Revenues_Min" localSheetId="24">#REF!</definedName>
    <definedName name="z_TEV_LTM_Revenues_Min" localSheetId="25">#REF!</definedName>
    <definedName name="z_TEV_LTM_Revenues_Min">#REF!</definedName>
    <definedName name="z_TEV_LTM_Revenues_Name" localSheetId="9">#REF!</definedName>
    <definedName name="z_TEV_LTM_Revenues_Name" localSheetId="10">#REF!</definedName>
    <definedName name="z_TEV_LTM_Revenues_Name" localSheetId="23">#REF!</definedName>
    <definedName name="z_TEV_LTM_Revenues_Name" localSheetId="24">#REF!</definedName>
    <definedName name="z_TEV_LTM_Revenues_Name" localSheetId="25">#REF!</definedName>
    <definedName name="z_TEV_LTM_Revenues_Name">#REF!</definedName>
    <definedName name="z_TEV_LTM_Revenues2" localSheetId="9">#REF!</definedName>
    <definedName name="z_TEV_LTM_Revenues2" localSheetId="10">#REF!</definedName>
    <definedName name="z_TEV_LTM_Revenues2" localSheetId="23">#REF!</definedName>
    <definedName name="z_TEV_LTM_Revenues2" localSheetId="24">#REF!</definedName>
    <definedName name="z_TEV_LTM_Revenues2" localSheetId="25">#REF!</definedName>
    <definedName name="z_TEV_LTM_Revenues2">#REF!</definedName>
    <definedName name="z_top" localSheetId="9">#REF!</definedName>
    <definedName name="z_top" localSheetId="10">#REF!</definedName>
    <definedName name="z_top" localSheetId="23">#REF!</definedName>
    <definedName name="z_top" localSheetId="24">#REF!</definedName>
    <definedName name="z_top" localSheetId="25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15" i="2"/>
  <c r="I6" i="2"/>
  <c r="I7" i="2"/>
  <c r="I8" i="2"/>
  <c r="I9" i="2"/>
  <c r="I10" i="2"/>
  <c r="I11" i="2"/>
  <c r="I12" i="2"/>
  <c r="I13" i="2"/>
  <c r="I14" i="2"/>
  <c r="I5" i="2"/>
  <c r="H14" i="2"/>
  <c r="H13" i="2"/>
  <c r="H12" i="2"/>
  <c r="H11" i="2"/>
  <c r="H10" i="2"/>
  <c r="H9" i="2"/>
  <c r="H8" i="2"/>
  <c r="H7" i="2"/>
  <c r="H6" i="2"/>
  <c r="H5" i="2"/>
  <c r="H4" i="2"/>
  <c r="O24" i="27"/>
  <c r="H24" i="27"/>
  <c r="O23" i="27"/>
  <c r="M23" i="27"/>
  <c r="K23" i="27"/>
  <c r="J23" i="27"/>
  <c r="H23" i="27"/>
  <c r="F23" i="27"/>
  <c r="D23" i="27"/>
  <c r="C23" i="27"/>
  <c r="B23" i="27"/>
  <c r="O22" i="27"/>
  <c r="O25" i="27" s="1"/>
  <c r="N22" i="27"/>
  <c r="H22" i="27"/>
  <c r="H25" i="27" s="1"/>
  <c r="G22" i="27"/>
  <c r="N21" i="27"/>
  <c r="M21" i="27"/>
  <c r="L21" i="27"/>
  <c r="K21" i="27"/>
  <c r="J21" i="27"/>
  <c r="G21" i="27"/>
  <c r="F21" i="27"/>
  <c r="E21" i="27"/>
  <c r="D21" i="27"/>
  <c r="C21" i="27"/>
  <c r="B21" i="27"/>
  <c r="N20" i="27"/>
  <c r="M20" i="27"/>
  <c r="L20" i="27"/>
  <c r="K20" i="27"/>
  <c r="J20" i="27"/>
  <c r="G20" i="27"/>
  <c r="F20" i="27"/>
  <c r="E20" i="27"/>
  <c r="D20" i="27"/>
  <c r="C20" i="27"/>
  <c r="B20" i="27"/>
  <c r="N19" i="27"/>
  <c r="N25" i="27" s="1"/>
  <c r="M19" i="27"/>
  <c r="M25" i="27" s="1"/>
  <c r="L19" i="27"/>
  <c r="L25" i="27" s="1"/>
  <c r="K19" i="27"/>
  <c r="K25" i="27" s="1"/>
  <c r="J19" i="27"/>
  <c r="J25" i="27" s="1"/>
  <c r="G19" i="27"/>
  <c r="G25" i="27" s="1"/>
  <c r="F19" i="27"/>
  <c r="F25" i="27" s="1"/>
  <c r="E19" i="27"/>
  <c r="E25" i="27" s="1"/>
  <c r="D19" i="27"/>
  <c r="D25" i="27" s="1"/>
  <c r="C19" i="27"/>
  <c r="C25" i="27" s="1"/>
  <c r="B19" i="27"/>
  <c r="B25" i="27" s="1"/>
  <c r="O13" i="27"/>
  <c r="H13" i="27"/>
  <c r="O12" i="27"/>
  <c r="N12" i="27"/>
  <c r="M12" i="27"/>
  <c r="K12" i="27"/>
  <c r="J12" i="27"/>
  <c r="H12" i="27"/>
  <c r="G12" i="27"/>
  <c r="F12" i="27"/>
  <c r="E12" i="27"/>
  <c r="D12" i="27"/>
  <c r="C12" i="27"/>
  <c r="B12" i="27"/>
  <c r="O11" i="27"/>
  <c r="O14" i="27" s="1"/>
  <c r="H11" i="27"/>
  <c r="N10" i="27"/>
  <c r="M10" i="27"/>
  <c r="L10" i="27"/>
  <c r="K10" i="27"/>
  <c r="J10" i="27"/>
  <c r="H10" i="27"/>
  <c r="G10" i="27"/>
  <c r="F10" i="27"/>
  <c r="E10" i="27"/>
  <c r="D10" i="27"/>
  <c r="C10" i="27"/>
  <c r="B10" i="27"/>
  <c r="N9" i="27"/>
  <c r="M9" i="27"/>
  <c r="M14" i="27" s="1"/>
  <c r="L9" i="27"/>
  <c r="K9" i="27"/>
  <c r="K14" i="27" s="1"/>
  <c r="J9" i="27"/>
  <c r="H9" i="27"/>
  <c r="G9" i="27"/>
  <c r="G14" i="27" s="1"/>
  <c r="F9" i="27"/>
  <c r="E9" i="27"/>
  <c r="D9" i="27"/>
  <c r="D14" i="27" s="1"/>
  <c r="C9" i="27"/>
  <c r="B9" i="27"/>
  <c r="B14" i="27" s="1"/>
  <c r="N8" i="27"/>
  <c r="N14" i="27" s="1"/>
  <c r="M8" i="27"/>
  <c r="L8" i="27"/>
  <c r="L14" i="27" s="1"/>
  <c r="K8" i="27"/>
  <c r="J8" i="27"/>
  <c r="J14" i="27" s="1"/>
  <c r="H8" i="27"/>
  <c r="H14" i="27" s="1"/>
  <c r="G8" i="27"/>
  <c r="F8" i="27"/>
  <c r="F14" i="27" s="1"/>
  <c r="E8" i="27"/>
  <c r="E14" i="27" s="1"/>
  <c r="D8" i="27"/>
  <c r="C8" i="27"/>
  <c r="C14" i="27" s="1"/>
  <c r="B8" i="27"/>
  <c r="H3" i="27"/>
  <c r="N25" i="26"/>
  <c r="D25" i="26"/>
  <c r="N24" i="26"/>
  <c r="G24" i="26"/>
  <c r="N23" i="26"/>
  <c r="M23" i="26"/>
  <c r="L23" i="26"/>
  <c r="J23" i="26"/>
  <c r="I23" i="26"/>
  <c r="G23" i="26"/>
  <c r="F23" i="26"/>
  <c r="E23" i="26"/>
  <c r="B23" i="26"/>
  <c r="N22" i="26"/>
  <c r="M22" i="26"/>
  <c r="G22" i="26"/>
  <c r="G25" i="26" s="1"/>
  <c r="F22" i="26"/>
  <c r="M21" i="26"/>
  <c r="L21" i="26"/>
  <c r="K21" i="26"/>
  <c r="J21" i="26"/>
  <c r="I21" i="26"/>
  <c r="F21" i="26"/>
  <c r="E21" i="26"/>
  <c r="D21" i="26"/>
  <c r="C21" i="26"/>
  <c r="B21" i="26"/>
  <c r="M20" i="26"/>
  <c r="M25" i="26" s="1"/>
  <c r="L20" i="26"/>
  <c r="K20" i="26"/>
  <c r="J20" i="26"/>
  <c r="J25" i="26" s="1"/>
  <c r="I20" i="26"/>
  <c r="I25" i="26" s="1"/>
  <c r="F20" i="26"/>
  <c r="E20" i="26"/>
  <c r="D20" i="26"/>
  <c r="C20" i="26"/>
  <c r="B20" i="26"/>
  <c r="M19" i="26"/>
  <c r="L19" i="26"/>
  <c r="L25" i="26" s="1"/>
  <c r="K19" i="26"/>
  <c r="K25" i="26" s="1"/>
  <c r="J19" i="26"/>
  <c r="I19" i="26"/>
  <c r="F19" i="26"/>
  <c r="F25" i="26" s="1"/>
  <c r="E19" i="26"/>
  <c r="E25" i="26" s="1"/>
  <c r="D19" i="26"/>
  <c r="C19" i="26"/>
  <c r="C25" i="26" s="1"/>
  <c r="B19" i="26"/>
  <c r="B25" i="26" s="1"/>
  <c r="N13" i="26"/>
  <c r="I13" i="26"/>
  <c r="G13" i="26"/>
  <c r="B13" i="26"/>
  <c r="N12" i="26"/>
  <c r="M12" i="26"/>
  <c r="L12" i="26"/>
  <c r="I12" i="26"/>
  <c r="G12" i="26"/>
  <c r="F12" i="26"/>
  <c r="E12" i="26"/>
  <c r="B12" i="26"/>
  <c r="N11" i="26"/>
  <c r="N14" i="26" s="1"/>
  <c r="G11" i="26"/>
  <c r="M10" i="26"/>
  <c r="L10" i="26"/>
  <c r="K10" i="26"/>
  <c r="J10" i="26"/>
  <c r="I10" i="26"/>
  <c r="G10" i="26"/>
  <c r="G14" i="26" s="1"/>
  <c r="F10" i="26"/>
  <c r="F14" i="26" s="1"/>
  <c r="E10" i="26"/>
  <c r="D10" i="26"/>
  <c r="C10" i="26"/>
  <c r="B10" i="26"/>
  <c r="M9" i="26"/>
  <c r="L9" i="26"/>
  <c r="K9" i="26"/>
  <c r="K14" i="26" s="1"/>
  <c r="J9" i="26"/>
  <c r="J14" i="26" s="1"/>
  <c r="I9" i="26"/>
  <c r="G9" i="26"/>
  <c r="F9" i="26"/>
  <c r="E9" i="26"/>
  <c r="D9" i="26"/>
  <c r="C9" i="26"/>
  <c r="B9" i="26"/>
  <c r="B14" i="26" s="1"/>
  <c r="M8" i="26"/>
  <c r="M14" i="26" s="1"/>
  <c r="L8" i="26"/>
  <c r="L14" i="26" s="1"/>
  <c r="K8" i="26"/>
  <c r="J8" i="26"/>
  <c r="I8" i="26"/>
  <c r="I14" i="26" s="1"/>
  <c r="G8" i="26"/>
  <c r="F8" i="26"/>
  <c r="E8" i="26"/>
  <c r="E14" i="26" s="1"/>
  <c r="D8" i="26"/>
  <c r="D14" i="26" s="1"/>
  <c r="C8" i="26"/>
  <c r="C14" i="26" s="1"/>
  <c r="B8" i="26"/>
  <c r="G3" i="26"/>
  <c r="N25" i="25" l="1"/>
  <c r="E25" i="25"/>
  <c r="N24" i="25"/>
  <c r="G24" i="25"/>
  <c r="N23" i="25"/>
  <c r="L23" i="25"/>
  <c r="J23" i="25"/>
  <c r="I23" i="25"/>
  <c r="G23" i="25"/>
  <c r="E23" i="25"/>
  <c r="B23" i="25"/>
  <c r="N22" i="25"/>
  <c r="M22" i="25"/>
  <c r="G22" i="25"/>
  <c r="G25" i="25" s="1"/>
  <c r="F22" i="25"/>
  <c r="M21" i="25"/>
  <c r="L21" i="25"/>
  <c r="K21" i="25"/>
  <c r="J21" i="25"/>
  <c r="I21" i="25"/>
  <c r="F21" i="25"/>
  <c r="E21" i="25"/>
  <c r="D21" i="25"/>
  <c r="C21" i="25"/>
  <c r="B21" i="25"/>
  <c r="M20" i="25"/>
  <c r="L20" i="25"/>
  <c r="K20" i="25"/>
  <c r="J20" i="25"/>
  <c r="I20" i="25"/>
  <c r="F20" i="25"/>
  <c r="F25" i="25" s="1"/>
  <c r="E20" i="25"/>
  <c r="D20" i="25"/>
  <c r="C20" i="25"/>
  <c r="B20" i="25"/>
  <c r="M19" i="25"/>
  <c r="M25" i="25" s="1"/>
  <c r="L19" i="25"/>
  <c r="L25" i="25" s="1"/>
  <c r="K19" i="25"/>
  <c r="K25" i="25" s="1"/>
  <c r="J19" i="25"/>
  <c r="J25" i="25" s="1"/>
  <c r="I19" i="25"/>
  <c r="I25" i="25" s="1"/>
  <c r="F19" i="25"/>
  <c r="E19" i="25"/>
  <c r="D19" i="25"/>
  <c r="D25" i="25" s="1"/>
  <c r="C19" i="25"/>
  <c r="C25" i="25" s="1"/>
  <c r="B19" i="25"/>
  <c r="B25" i="25" s="1"/>
  <c r="M14" i="25"/>
  <c r="N13" i="25"/>
  <c r="G13" i="25"/>
  <c r="N12" i="25"/>
  <c r="M12" i="25"/>
  <c r="L12" i="25"/>
  <c r="J12" i="25"/>
  <c r="I12" i="25"/>
  <c r="G12" i="25"/>
  <c r="F12" i="25"/>
  <c r="E12" i="25"/>
  <c r="C12" i="25"/>
  <c r="B12" i="25"/>
  <c r="N11" i="25"/>
  <c r="N14" i="25" s="1"/>
  <c r="G11" i="25"/>
  <c r="M10" i="25"/>
  <c r="L10" i="25"/>
  <c r="K10" i="25"/>
  <c r="J10" i="25"/>
  <c r="I10" i="25"/>
  <c r="F10" i="25"/>
  <c r="E10" i="25"/>
  <c r="E14" i="25" s="1"/>
  <c r="D10" i="25"/>
  <c r="D14" i="25" s="1"/>
  <c r="C10" i="25"/>
  <c r="B10" i="25"/>
  <c r="M9" i="25"/>
  <c r="L9" i="25"/>
  <c r="K9" i="25"/>
  <c r="J9" i="25"/>
  <c r="J14" i="25" s="1"/>
  <c r="I9" i="25"/>
  <c r="I14" i="25" s="1"/>
  <c r="G9" i="25"/>
  <c r="F9" i="25"/>
  <c r="E9" i="25"/>
  <c r="D9" i="25"/>
  <c r="C9" i="25"/>
  <c r="B9" i="25"/>
  <c r="M8" i="25"/>
  <c r="L8" i="25"/>
  <c r="L14" i="25" s="1"/>
  <c r="K8" i="25"/>
  <c r="K14" i="25" s="1"/>
  <c r="J8" i="25"/>
  <c r="I8" i="25"/>
  <c r="G8" i="25"/>
  <c r="G14" i="25" s="1"/>
  <c r="F8" i="25"/>
  <c r="F14" i="25" s="1"/>
  <c r="E8" i="25"/>
  <c r="D8" i="25"/>
  <c r="C8" i="25"/>
  <c r="C14" i="25" s="1"/>
  <c r="B8" i="25"/>
  <c r="B14" i="25" s="1"/>
  <c r="G3" i="25"/>
  <c r="O24" i="23" l="1"/>
  <c r="H24" i="23"/>
  <c r="O23" i="23"/>
  <c r="O25" i="23" s="1"/>
  <c r="N23" i="23"/>
  <c r="M23" i="23"/>
  <c r="L23" i="23"/>
  <c r="K23" i="23"/>
  <c r="J23" i="23"/>
  <c r="H23" i="23"/>
  <c r="G23" i="23"/>
  <c r="F23" i="23"/>
  <c r="E23" i="23"/>
  <c r="D23" i="23"/>
  <c r="C23" i="23"/>
  <c r="B23" i="23"/>
  <c r="O22" i="23"/>
  <c r="H22" i="23"/>
  <c r="N21" i="23"/>
  <c r="M21" i="23"/>
  <c r="L21" i="23"/>
  <c r="K21" i="23"/>
  <c r="J21" i="23"/>
  <c r="G21" i="23"/>
  <c r="F21" i="23"/>
  <c r="E21" i="23"/>
  <c r="D21" i="23"/>
  <c r="C21" i="23"/>
  <c r="B21" i="23"/>
  <c r="N20" i="23"/>
  <c r="M20" i="23"/>
  <c r="L20" i="23"/>
  <c r="K20" i="23"/>
  <c r="J20" i="23"/>
  <c r="J25" i="23" s="1"/>
  <c r="H20" i="23"/>
  <c r="G20" i="23"/>
  <c r="F20" i="23"/>
  <c r="F25" i="23" s="1"/>
  <c r="E20" i="23"/>
  <c r="D20" i="23"/>
  <c r="C20" i="23"/>
  <c r="B20" i="23"/>
  <c r="N19" i="23"/>
  <c r="N25" i="23" s="1"/>
  <c r="M19" i="23"/>
  <c r="M25" i="23" s="1"/>
  <c r="L19" i="23"/>
  <c r="L25" i="23" s="1"/>
  <c r="K19" i="23"/>
  <c r="K25" i="23" s="1"/>
  <c r="J19" i="23"/>
  <c r="H19" i="23"/>
  <c r="H25" i="23" s="1"/>
  <c r="G19" i="23"/>
  <c r="G25" i="23" s="1"/>
  <c r="F19" i="23"/>
  <c r="E19" i="23"/>
  <c r="E25" i="23" s="1"/>
  <c r="D19" i="23"/>
  <c r="D25" i="23" s="1"/>
  <c r="C19" i="23"/>
  <c r="C25" i="23" s="1"/>
  <c r="B19" i="23"/>
  <c r="B25" i="23" s="1"/>
  <c r="K17" i="23"/>
  <c r="D17" i="23"/>
  <c r="B14" i="23"/>
  <c r="O13" i="23"/>
  <c r="L13" i="23"/>
  <c r="K13" i="23"/>
  <c r="J13" i="23"/>
  <c r="H13" i="23"/>
  <c r="O12" i="23"/>
  <c r="O14" i="23" s="1"/>
  <c r="N12" i="23"/>
  <c r="M12" i="23"/>
  <c r="L12" i="23"/>
  <c r="K12" i="23"/>
  <c r="J12" i="23"/>
  <c r="H12" i="23"/>
  <c r="G12" i="23"/>
  <c r="F12" i="23"/>
  <c r="F14" i="23" s="1"/>
  <c r="E12" i="23"/>
  <c r="D12" i="23"/>
  <c r="C12" i="23"/>
  <c r="B12" i="23"/>
  <c r="O11" i="23"/>
  <c r="H11" i="23"/>
  <c r="N10" i="23"/>
  <c r="M10" i="23"/>
  <c r="L10" i="23"/>
  <c r="K10" i="23"/>
  <c r="K14" i="23" s="1"/>
  <c r="J10" i="23"/>
  <c r="G10" i="23"/>
  <c r="F10" i="23"/>
  <c r="E10" i="23"/>
  <c r="D10" i="23"/>
  <c r="C10" i="23"/>
  <c r="B10" i="23"/>
  <c r="N9" i="23"/>
  <c r="M9" i="23"/>
  <c r="M14" i="23" s="1"/>
  <c r="L9" i="23"/>
  <c r="K9" i="23"/>
  <c r="J9" i="23"/>
  <c r="H9" i="23"/>
  <c r="G9" i="23"/>
  <c r="F9" i="23"/>
  <c r="E9" i="23"/>
  <c r="D9" i="23"/>
  <c r="D14" i="23" s="1"/>
  <c r="C9" i="23"/>
  <c r="B9" i="23"/>
  <c r="N8" i="23"/>
  <c r="N14" i="23" s="1"/>
  <c r="M8" i="23"/>
  <c r="L8" i="23"/>
  <c r="L14" i="23" s="1"/>
  <c r="K8" i="23"/>
  <c r="J8" i="23"/>
  <c r="J14" i="23" s="1"/>
  <c r="H8" i="23"/>
  <c r="H14" i="23" s="1"/>
  <c r="G8" i="23"/>
  <c r="G14" i="23" s="1"/>
  <c r="F8" i="23"/>
  <c r="E8" i="23"/>
  <c r="E14" i="23" s="1"/>
  <c r="D8" i="23"/>
  <c r="C8" i="23"/>
  <c r="C14" i="23" s="1"/>
  <c r="B8" i="23"/>
  <c r="L6" i="23"/>
  <c r="D6" i="23"/>
  <c r="H3" i="23"/>
  <c r="O24" i="22" l="1"/>
  <c r="H24" i="22"/>
  <c r="O23" i="22"/>
  <c r="O25" i="22" s="1"/>
  <c r="N23" i="22"/>
  <c r="M23" i="22"/>
  <c r="L23" i="22"/>
  <c r="K23" i="22"/>
  <c r="J23" i="22"/>
  <c r="H23" i="22"/>
  <c r="G23" i="22"/>
  <c r="F23" i="22"/>
  <c r="E23" i="22"/>
  <c r="D23" i="22"/>
  <c r="C23" i="22"/>
  <c r="B23" i="22"/>
  <c r="O22" i="22"/>
  <c r="H22" i="22"/>
  <c r="N21" i="22"/>
  <c r="M21" i="22"/>
  <c r="L21" i="22"/>
  <c r="K21" i="22"/>
  <c r="J21" i="22"/>
  <c r="G21" i="22"/>
  <c r="F21" i="22"/>
  <c r="E21" i="22"/>
  <c r="D21" i="22"/>
  <c r="C21" i="22"/>
  <c r="B21" i="22"/>
  <c r="N20" i="22"/>
  <c r="N25" i="22" s="1"/>
  <c r="M20" i="22"/>
  <c r="M25" i="22" s="1"/>
  <c r="L20" i="22"/>
  <c r="L25" i="22" s="1"/>
  <c r="K20" i="22"/>
  <c r="J20" i="22"/>
  <c r="H20" i="22"/>
  <c r="G20" i="22"/>
  <c r="F20" i="22"/>
  <c r="F25" i="22" s="1"/>
  <c r="E20" i="22"/>
  <c r="E25" i="22" s="1"/>
  <c r="D20" i="22"/>
  <c r="D25" i="22" s="1"/>
  <c r="C20" i="22"/>
  <c r="C25" i="22" s="1"/>
  <c r="B20" i="22"/>
  <c r="N19" i="22"/>
  <c r="M19" i="22"/>
  <c r="L19" i="22"/>
  <c r="K19" i="22"/>
  <c r="K25" i="22" s="1"/>
  <c r="J19" i="22"/>
  <c r="J25" i="22" s="1"/>
  <c r="H19" i="22"/>
  <c r="H25" i="22" s="1"/>
  <c r="G19" i="22"/>
  <c r="G25" i="22" s="1"/>
  <c r="F19" i="22"/>
  <c r="E19" i="22"/>
  <c r="D19" i="22"/>
  <c r="C19" i="22"/>
  <c r="B19" i="22"/>
  <c r="B25" i="22" s="1"/>
  <c r="K17" i="22"/>
  <c r="D17" i="22"/>
  <c r="O14" i="22"/>
  <c r="F14" i="22"/>
  <c r="O13" i="22"/>
  <c r="L13" i="22"/>
  <c r="K13" i="22"/>
  <c r="J13" i="22"/>
  <c r="H13" i="22"/>
  <c r="O12" i="22"/>
  <c r="N12" i="22"/>
  <c r="M12" i="22"/>
  <c r="L12" i="22"/>
  <c r="K12" i="22"/>
  <c r="J12" i="22"/>
  <c r="H12" i="22"/>
  <c r="G12" i="22"/>
  <c r="F12" i="22"/>
  <c r="E12" i="22"/>
  <c r="D12" i="22"/>
  <c r="C12" i="22"/>
  <c r="B12" i="22"/>
  <c r="O11" i="22"/>
  <c r="H11" i="22"/>
  <c r="H14" i="22" s="1"/>
  <c r="N10" i="22"/>
  <c r="M10" i="22"/>
  <c r="L10" i="22"/>
  <c r="K10" i="22"/>
  <c r="J10" i="22"/>
  <c r="G10" i="22"/>
  <c r="F10" i="22"/>
  <c r="E10" i="22"/>
  <c r="D10" i="22"/>
  <c r="C10" i="22"/>
  <c r="B10" i="22"/>
  <c r="N9" i="22"/>
  <c r="M9" i="22"/>
  <c r="L9" i="22"/>
  <c r="K9" i="22"/>
  <c r="K14" i="22" s="1"/>
  <c r="J9" i="22"/>
  <c r="J14" i="22" s="1"/>
  <c r="H9" i="22"/>
  <c r="G9" i="22"/>
  <c r="F9" i="22"/>
  <c r="E9" i="22"/>
  <c r="D9" i="22"/>
  <c r="C9" i="22"/>
  <c r="B9" i="22"/>
  <c r="B14" i="22" s="1"/>
  <c r="N8" i="22"/>
  <c r="N14" i="22" s="1"/>
  <c r="M8" i="22"/>
  <c r="M14" i="22" s="1"/>
  <c r="L8" i="22"/>
  <c r="L14" i="22" s="1"/>
  <c r="K8" i="22"/>
  <c r="J8" i="22"/>
  <c r="H8" i="22"/>
  <c r="G8" i="22"/>
  <c r="G14" i="22" s="1"/>
  <c r="F8" i="22"/>
  <c r="E8" i="22"/>
  <c r="E14" i="22" s="1"/>
  <c r="D8" i="22"/>
  <c r="D14" i="22" s="1"/>
  <c r="C8" i="22"/>
  <c r="C14" i="22" s="1"/>
  <c r="B8" i="22"/>
  <c r="L6" i="22"/>
  <c r="D6" i="22"/>
  <c r="H3" i="22"/>
  <c r="P24" i="21" l="1"/>
  <c r="H24" i="21"/>
  <c r="P23" i="21"/>
  <c r="P25" i="21" s="1"/>
  <c r="O23" i="21"/>
  <c r="N23" i="21"/>
  <c r="M23" i="21"/>
  <c r="L23" i="21"/>
  <c r="K23" i="21"/>
  <c r="J23" i="21"/>
  <c r="H23" i="21"/>
  <c r="G23" i="21"/>
  <c r="F23" i="21"/>
  <c r="E23" i="21"/>
  <c r="D23" i="21"/>
  <c r="C23" i="21"/>
  <c r="B23" i="21"/>
  <c r="P22" i="21"/>
  <c r="H22" i="21"/>
  <c r="O21" i="21"/>
  <c r="N21" i="21"/>
  <c r="M21" i="21"/>
  <c r="L21" i="21"/>
  <c r="K21" i="21"/>
  <c r="J21" i="21"/>
  <c r="G21" i="21"/>
  <c r="F21" i="21"/>
  <c r="E21" i="21"/>
  <c r="D21" i="21"/>
  <c r="C21" i="21"/>
  <c r="B21" i="21"/>
  <c r="O20" i="21"/>
  <c r="N20" i="21"/>
  <c r="M20" i="21"/>
  <c r="L20" i="21"/>
  <c r="K20" i="21"/>
  <c r="J20" i="21"/>
  <c r="H20" i="21"/>
  <c r="G20" i="21"/>
  <c r="F20" i="21"/>
  <c r="E20" i="21"/>
  <c r="D20" i="21"/>
  <c r="C20" i="21"/>
  <c r="B20" i="21"/>
  <c r="O19" i="21"/>
  <c r="O25" i="21" s="1"/>
  <c r="N19" i="21"/>
  <c r="N25" i="21" s="1"/>
  <c r="M19" i="21"/>
  <c r="M25" i="21" s="1"/>
  <c r="L19" i="21"/>
  <c r="L25" i="21" s="1"/>
  <c r="K19" i="21"/>
  <c r="K25" i="21" s="1"/>
  <c r="J19" i="21"/>
  <c r="J25" i="21" s="1"/>
  <c r="H19" i="21"/>
  <c r="H25" i="21" s="1"/>
  <c r="G19" i="21"/>
  <c r="G25" i="21" s="1"/>
  <c r="F19" i="21"/>
  <c r="F25" i="21" s="1"/>
  <c r="E19" i="21"/>
  <c r="E25" i="21" s="1"/>
  <c r="D19" i="21"/>
  <c r="D25" i="21" s="1"/>
  <c r="C19" i="21"/>
  <c r="C25" i="21" s="1"/>
  <c r="B19" i="21"/>
  <c r="B25" i="21" s="1"/>
  <c r="L17" i="21"/>
  <c r="K17" i="21"/>
  <c r="D17" i="21"/>
  <c r="P14" i="21"/>
  <c r="M14" i="21"/>
  <c r="H14" i="21"/>
  <c r="D14" i="21"/>
  <c r="P13" i="21"/>
  <c r="M13" i="21"/>
  <c r="K13" i="21"/>
  <c r="J13" i="21"/>
  <c r="H13" i="21"/>
  <c r="P12" i="21"/>
  <c r="O12" i="21"/>
  <c r="N12" i="21"/>
  <c r="M12" i="21"/>
  <c r="L12" i="21"/>
  <c r="K12" i="21"/>
  <c r="J12" i="21"/>
  <c r="H12" i="21"/>
  <c r="G12" i="21"/>
  <c r="F12" i="21"/>
  <c r="E12" i="21"/>
  <c r="D12" i="21"/>
  <c r="C12" i="21"/>
  <c r="B12" i="21"/>
  <c r="P11" i="21"/>
  <c r="H11" i="21"/>
  <c r="O10" i="21"/>
  <c r="N10" i="21"/>
  <c r="M10" i="21"/>
  <c r="L10" i="21"/>
  <c r="K10" i="21"/>
  <c r="J10" i="21"/>
  <c r="J14" i="21" s="1"/>
  <c r="G10" i="21"/>
  <c r="F10" i="21"/>
  <c r="E10" i="21"/>
  <c r="D10" i="21"/>
  <c r="C10" i="21"/>
  <c r="B10" i="21"/>
  <c r="O9" i="21"/>
  <c r="N9" i="21"/>
  <c r="N14" i="21" s="1"/>
  <c r="M9" i="21"/>
  <c r="L9" i="21"/>
  <c r="K9" i="21"/>
  <c r="J9" i="21"/>
  <c r="H9" i="21"/>
  <c r="G9" i="21"/>
  <c r="F9" i="21"/>
  <c r="E9" i="21"/>
  <c r="E14" i="21" s="1"/>
  <c r="D9" i="21"/>
  <c r="C9" i="21"/>
  <c r="B9" i="21"/>
  <c r="O8" i="21"/>
  <c r="O14" i="21" s="1"/>
  <c r="N8" i="21"/>
  <c r="M8" i="21"/>
  <c r="L8" i="21"/>
  <c r="L14" i="21" s="1"/>
  <c r="K8" i="21"/>
  <c r="K14" i="21" s="1"/>
  <c r="J8" i="21"/>
  <c r="H8" i="21"/>
  <c r="G8" i="21"/>
  <c r="G14" i="21" s="1"/>
  <c r="F8" i="21"/>
  <c r="F14" i="21" s="1"/>
  <c r="E8" i="21"/>
  <c r="D8" i="21"/>
  <c r="C8" i="21"/>
  <c r="C14" i="21" s="1"/>
  <c r="B8" i="21"/>
  <c r="B14" i="21" s="1"/>
  <c r="M6" i="21"/>
  <c r="D6" i="21"/>
  <c r="H3" i="21"/>
  <c r="P24" i="20" l="1"/>
  <c r="H24" i="20"/>
  <c r="P23" i="20"/>
  <c r="P25" i="20" s="1"/>
  <c r="O23" i="20"/>
  <c r="N23" i="20"/>
  <c r="M23" i="20"/>
  <c r="L23" i="20"/>
  <c r="K23" i="20"/>
  <c r="J23" i="20"/>
  <c r="H23" i="20"/>
  <c r="G23" i="20"/>
  <c r="F23" i="20"/>
  <c r="E23" i="20"/>
  <c r="D23" i="20"/>
  <c r="C23" i="20"/>
  <c r="B23" i="20"/>
  <c r="P22" i="20"/>
  <c r="H22" i="20"/>
  <c r="O21" i="20"/>
  <c r="N21" i="20"/>
  <c r="M21" i="20"/>
  <c r="L21" i="20"/>
  <c r="K21" i="20"/>
  <c r="J21" i="20"/>
  <c r="G21" i="20"/>
  <c r="F21" i="20"/>
  <c r="E21" i="20"/>
  <c r="D21" i="20"/>
  <c r="C21" i="20"/>
  <c r="B21" i="20"/>
  <c r="O20" i="20"/>
  <c r="N20" i="20"/>
  <c r="M20" i="20"/>
  <c r="L20" i="20"/>
  <c r="K20" i="20"/>
  <c r="J20" i="20"/>
  <c r="H20" i="20"/>
  <c r="G20" i="20"/>
  <c r="F20" i="20"/>
  <c r="E20" i="20"/>
  <c r="D20" i="20"/>
  <c r="C20" i="20"/>
  <c r="B20" i="20"/>
  <c r="O19" i="20"/>
  <c r="O25" i="20" s="1"/>
  <c r="N19" i="20"/>
  <c r="N25" i="20" s="1"/>
  <c r="M19" i="20"/>
  <c r="M25" i="20" s="1"/>
  <c r="L19" i="20"/>
  <c r="L25" i="20" s="1"/>
  <c r="K19" i="20"/>
  <c r="K25" i="20" s="1"/>
  <c r="J19" i="20"/>
  <c r="J25" i="20" s="1"/>
  <c r="H19" i="20"/>
  <c r="H25" i="20" s="1"/>
  <c r="G19" i="20"/>
  <c r="G25" i="20" s="1"/>
  <c r="F19" i="20"/>
  <c r="F25" i="20" s="1"/>
  <c r="E19" i="20"/>
  <c r="E25" i="20" s="1"/>
  <c r="D19" i="20"/>
  <c r="D25" i="20" s="1"/>
  <c r="C19" i="20"/>
  <c r="C25" i="20" s="1"/>
  <c r="B19" i="20"/>
  <c r="B25" i="20" s="1"/>
  <c r="L17" i="20"/>
  <c r="K17" i="20"/>
  <c r="D17" i="20"/>
  <c r="P14" i="20"/>
  <c r="H14" i="20"/>
  <c r="G14" i="20"/>
  <c r="P13" i="20"/>
  <c r="M13" i="20"/>
  <c r="K13" i="20"/>
  <c r="J13" i="20"/>
  <c r="H13" i="20"/>
  <c r="P12" i="20"/>
  <c r="O12" i="20"/>
  <c r="N12" i="20"/>
  <c r="M12" i="20"/>
  <c r="L12" i="20"/>
  <c r="K12" i="20"/>
  <c r="J12" i="20"/>
  <c r="H12" i="20"/>
  <c r="G12" i="20"/>
  <c r="F12" i="20"/>
  <c r="E12" i="20"/>
  <c r="D12" i="20"/>
  <c r="C12" i="20"/>
  <c r="B12" i="20"/>
  <c r="P11" i="20"/>
  <c r="H11" i="20"/>
  <c r="O10" i="20"/>
  <c r="N10" i="20"/>
  <c r="M10" i="20"/>
  <c r="L10" i="20"/>
  <c r="K10" i="20"/>
  <c r="J10" i="20"/>
  <c r="G10" i="20"/>
  <c r="F10" i="20"/>
  <c r="E10" i="20"/>
  <c r="D10" i="20"/>
  <c r="C10" i="20"/>
  <c r="B10" i="20"/>
  <c r="O9" i="20"/>
  <c r="O14" i="20" s="1"/>
  <c r="N9" i="20"/>
  <c r="M9" i="20"/>
  <c r="L9" i="20"/>
  <c r="K9" i="20"/>
  <c r="J9" i="20"/>
  <c r="H9" i="20"/>
  <c r="G9" i="20"/>
  <c r="F9" i="20"/>
  <c r="F14" i="20" s="1"/>
  <c r="E9" i="20"/>
  <c r="D9" i="20"/>
  <c r="C9" i="20"/>
  <c r="B9" i="20"/>
  <c r="O8" i="20"/>
  <c r="N8" i="20"/>
  <c r="N14" i="20" s="1"/>
  <c r="M8" i="20"/>
  <c r="M14" i="20" s="1"/>
  <c r="L8" i="20"/>
  <c r="L14" i="20" s="1"/>
  <c r="K8" i="20"/>
  <c r="K14" i="20" s="1"/>
  <c r="J8" i="20"/>
  <c r="J14" i="20" s="1"/>
  <c r="H8" i="20"/>
  <c r="G8" i="20"/>
  <c r="F8" i="20"/>
  <c r="E8" i="20"/>
  <c r="E14" i="20" s="1"/>
  <c r="D8" i="20"/>
  <c r="D14" i="20" s="1"/>
  <c r="C8" i="20"/>
  <c r="C14" i="20" s="1"/>
  <c r="B8" i="20"/>
  <c r="B14" i="20" s="1"/>
  <c r="M6" i="20"/>
  <c r="D6" i="20"/>
  <c r="H3" i="20"/>
  <c r="P24" i="19" l="1"/>
  <c r="H24" i="19"/>
  <c r="P23" i="19"/>
  <c r="O23" i="19"/>
  <c r="N23" i="19"/>
  <c r="M23" i="19"/>
  <c r="L23" i="19"/>
  <c r="K23" i="19"/>
  <c r="J23" i="19"/>
  <c r="H23" i="19"/>
  <c r="G23" i="19"/>
  <c r="F23" i="19"/>
  <c r="E23" i="19"/>
  <c r="D23" i="19"/>
  <c r="C23" i="19"/>
  <c r="B23" i="19"/>
  <c r="P22" i="19"/>
  <c r="P25" i="19" s="1"/>
  <c r="H22" i="19"/>
  <c r="O21" i="19"/>
  <c r="N21" i="19"/>
  <c r="M21" i="19"/>
  <c r="L21" i="19"/>
  <c r="K21" i="19"/>
  <c r="J21" i="19"/>
  <c r="G21" i="19"/>
  <c r="F21" i="19"/>
  <c r="E21" i="19"/>
  <c r="D21" i="19"/>
  <c r="C21" i="19"/>
  <c r="B21" i="19"/>
  <c r="O20" i="19"/>
  <c r="N20" i="19"/>
  <c r="M20" i="19"/>
  <c r="L20" i="19"/>
  <c r="K20" i="19"/>
  <c r="J20" i="19"/>
  <c r="H20" i="19"/>
  <c r="G20" i="19"/>
  <c r="F20" i="19"/>
  <c r="E20" i="19"/>
  <c r="D20" i="19"/>
  <c r="C20" i="19"/>
  <c r="B20" i="19"/>
  <c r="O19" i="19"/>
  <c r="O25" i="19" s="1"/>
  <c r="N19" i="19"/>
  <c r="N25" i="19" s="1"/>
  <c r="M19" i="19"/>
  <c r="M25" i="19" s="1"/>
  <c r="L19" i="19"/>
  <c r="L25" i="19" s="1"/>
  <c r="K19" i="19"/>
  <c r="K25" i="19" s="1"/>
  <c r="J19" i="19"/>
  <c r="J25" i="19" s="1"/>
  <c r="H19" i="19"/>
  <c r="H25" i="19" s="1"/>
  <c r="G19" i="19"/>
  <c r="G25" i="19" s="1"/>
  <c r="F19" i="19"/>
  <c r="F25" i="19" s="1"/>
  <c r="E19" i="19"/>
  <c r="E25" i="19" s="1"/>
  <c r="D19" i="19"/>
  <c r="D25" i="19" s="1"/>
  <c r="C19" i="19"/>
  <c r="C25" i="19" s="1"/>
  <c r="B19" i="19"/>
  <c r="B25" i="19" s="1"/>
  <c r="K17" i="19"/>
  <c r="D17" i="19"/>
  <c r="H14" i="19"/>
  <c r="P13" i="19"/>
  <c r="M13" i="19"/>
  <c r="K13" i="19"/>
  <c r="J13" i="19"/>
  <c r="H13" i="19"/>
  <c r="P12" i="19"/>
  <c r="O12" i="19"/>
  <c r="N12" i="19"/>
  <c r="M12" i="19"/>
  <c r="L12" i="19"/>
  <c r="K12" i="19"/>
  <c r="J12" i="19"/>
  <c r="H12" i="19"/>
  <c r="G12" i="19"/>
  <c r="F12" i="19"/>
  <c r="E12" i="19"/>
  <c r="D12" i="19"/>
  <c r="C12" i="19"/>
  <c r="B12" i="19"/>
  <c r="P11" i="19"/>
  <c r="P14" i="19" s="1"/>
  <c r="H11" i="19"/>
  <c r="O10" i="19"/>
  <c r="N10" i="19"/>
  <c r="M10" i="19"/>
  <c r="L10" i="19"/>
  <c r="K10" i="19"/>
  <c r="J10" i="19"/>
  <c r="G10" i="19"/>
  <c r="F10" i="19"/>
  <c r="E10" i="19"/>
  <c r="D10" i="19"/>
  <c r="C10" i="19"/>
  <c r="B10" i="19"/>
  <c r="O9" i="19"/>
  <c r="N9" i="19"/>
  <c r="M9" i="19"/>
  <c r="L9" i="19"/>
  <c r="K9" i="19"/>
  <c r="J9" i="19"/>
  <c r="H9" i="19"/>
  <c r="G9" i="19"/>
  <c r="F9" i="19"/>
  <c r="E9" i="19"/>
  <c r="D9" i="19"/>
  <c r="C9" i="19"/>
  <c r="B9" i="19"/>
  <c r="O8" i="19"/>
  <c r="O14" i="19" s="1"/>
  <c r="N8" i="19"/>
  <c r="N14" i="19" s="1"/>
  <c r="M8" i="19"/>
  <c r="M14" i="19" s="1"/>
  <c r="L8" i="19"/>
  <c r="L14" i="19" s="1"/>
  <c r="K8" i="19"/>
  <c r="K14" i="19" s="1"/>
  <c r="J8" i="19"/>
  <c r="J14" i="19" s="1"/>
  <c r="H8" i="19"/>
  <c r="G8" i="19"/>
  <c r="G14" i="19" s="1"/>
  <c r="F8" i="19"/>
  <c r="F14" i="19" s="1"/>
  <c r="E8" i="19"/>
  <c r="E14" i="19" s="1"/>
  <c r="D8" i="19"/>
  <c r="D14" i="19" s="1"/>
  <c r="C8" i="19"/>
  <c r="C14" i="19" s="1"/>
  <c r="B8" i="19"/>
  <c r="B14" i="19" s="1"/>
  <c r="M6" i="19"/>
  <c r="D6" i="19"/>
  <c r="H3" i="19"/>
  <c r="P24" i="18" l="1"/>
  <c r="H24" i="18"/>
  <c r="P23" i="18"/>
  <c r="P25" i="18" s="1"/>
  <c r="O23" i="18"/>
  <c r="N23" i="18"/>
  <c r="M23" i="18"/>
  <c r="L23" i="18"/>
  <c r="K23" i="18"/>
  <c r="J23" i="18"/>
  <c r="H23" i="18"/>
  <c r="G23" i="18"/>
  <c r="F23" i="18"/>
  <c r="E23" i="18"/>
  <c r="D23" i="18"/>
  <c r="C23" i="18"/>
  <c r="B23" i="18"/>
  <c r="P22" i="18"/>
  <c r="H22" i="18"/>
  <c r="O21" i="18"/>
  <c r="N21" i="18"/>
  <c r="M21" i="18"/>
  <c r="L21" i="18"/>
  <c r="K21" i="18"/>
  <c r="J21" i="18"/>
  <c r="G21" i="18"/>
  <c r="F21" i="18"/>
  <c r="E21" i="18"/>
  <c r="D21" i="18"/>
  <c r="C21" i="18"/>
  <c r="B21" i="18"/>
  <c r="O20" i="18"/>
  <c r="N20" i="18"/>
  <c r="M20" i="18"/>
  <c r="L20" i="18"/>
  <c r="K20" i="18"/>
  <c r="J20" i="18"/>
  <c r="H20" i="18"/>
  <c r="G20" i="18"/>
  <c r="F20" i="18"/>
  <c r="E20" i="18"/>
  <c r="D20" i="18"/>
  <c r="C20" i="18"/>
  <c r="B20" i="18"/>
  <c r="O19" i="18"/>
  <c r="O25" i="18" s="1"/>
  <c r="N19" i="18"/>
  <c r="N25" i="18" s="1"/>
  <c r="M19" i="18"/>
  <c r="M25" i="18" s="1"/>
  <c r="L19" i="18"/>
  <c r="L25" i="18" s="1"/>
  <c r="K19" i="18"/>
  <c r="K25" i="18" s="1"/>
  <c r="J19" i="18"/>
  <c r="J25" i="18" s="1"/>
  <c r="H19" i="18"/>
  <c r="H25" i="18" s="1"/>
  <c r="G19" i="18"/>
  <c r="G25" i="18" s="1"/>
  <c r="F19" i="18"/>
  <c r="F25" i="18" s="1"/>
  <c r="E19" i="18"/>
  <c r="E25" i="18" s="1"/>
  <c r="D19" i="18"/>
  <c r="D25" i="18" s="1"/>
  <c r="C19" i="18"/>
  <c r="C25" i="18" s="1"/>
  <c r="B19" i="18"/>
  <c r="B25" i="18" s="1"/>
  <c r="L17" i="18"/>
  <c r="K17" i="18"/>
  <c r="D17" i="18"/>
  <c r="J14" i="18"/>
  <c r="H14" i="18"/>
  <c r="P13" i="18"/>
  <c r="M13" i="18"/>
  <c r="K13" i="18"/>
  <c r="J13" i="18"/>
  <c r="H13" i="18"/>
  <c r="P12" i="18"/>
  <c r="O12" i="18"/>
  <c r="N12" i="18"/>
  <c r="M12" i="18"/>
  <c r="L12" i="18"/>
  <c r="K12" i="18"/>
  <c r="J12" i="18"/>
  <c r="H12" i="18"/>
  <c r="G12" i="18"/>
  <c r="F12" i="18"/>
  <c r="E12" i="18"/>
  <c r="D12" i="18"/>
  <c r="C12" i="18"/>
  <c r="B12" i="18"/>
  <c r="P11" i="18"/>
  <c r="P14" i="18" s="1"/>
  <c r="H11" i="18"/>
  <c r="O10" i="18"/>
  <c r="N10" i="18"/>
  <c r="M10" i="18"/>
  <c r="L10" i="18"/>
  <c r="K10" i="18"/>
  <c r="J10" i="18"/>
  <c r="G10" i="18"/>
  <c r="F10" i="18"/>
  <c r="E10" i="18"/>
  <c r="D10" i="18"/>
  <c r="C10" i="18"/>
  <c r="B10" i="18"/>
  <c r="O9" i="18"/>
  <c r="N9" i="18"/>
  <c r="M9" i="18"/>
  <c r="L9" i="18"/>
  <c r="K9" i="18"/>
  <c r="J9" i="18"/>
  <c r="H9" i="18"/>
  <c r="G9" i="18"/>
  <c r="F9" i="18"/>
  <c r="E9" i="18"/>
  <c r="D9" i="18"/>
  <c r="C9" i="18"/>
  <c r="B9" i="18"/>
  <c r="O8" i="18"/>
  <c r="O14" i="18" s="1"/>
  <c r="N8" i="18"/>
  <c r="N14" i="18" s="1"/>
  <c r="M8" i="18"/>
  <c r="M14" i="18" s="1"/>
  <c r="L8" i="18"/>
  <c r="L14" i="18" s="1"/>
  <c r="K8" i="18"/>
  <c r="K14" i="18" s="1"/>
  <c r="J8" i="18"/>
  <c r="H8" i="18"/>
  <c r="G8" i="18"/>
  <c r="G14" i="18" s="1"/>
  <c r="F8" i="18"/>
  <c r="F14" i="18" s="1"/>
  <c r="E8" i="18"/>
  <c r="E14" i="18" s="1"/>
  <c r="D8" i="18"/>
  <c r="D14" i="18" s="1"/>
  <c r="C8" i="18"/>
  <c r="C14" i="18" s="1"/>
  <c r="B8" i="18"/>
  <c r="B14" i="18" s="1"/>
  <c r="M6" i="18"/>
  <c r="D6" i="18"/>
  <c r="H3" i="18"/>
  <c r="P24" i="17" l="1"/>
  <c r="H24" i="17"/>
  <c r="P23" i="17"/>
  <c r="O23" i="17"/>
  <c r="N23" i="17"/>
  <c r="M23" i="17"/>
  <c r="L23" i="17"/>
  <c r="K23" i="17"/>
  <c r="J23" i="17"/>
  <c r="H23" i="17"/>
  <c r="G23" i="17"/>
  <c r="F23" i="17"/>
  <c r="E23" i="17"/>
  <c r="D23" i="17"/>
  <c r="C23" i="17"/>
  <c r="B23" i="17"/>
  <c r="P22" i="17"/>
  <c r="P25" i="17" s="1"/>
  <c r="H22" i="17"/>
  <c r="O21" i="17"/>
  <c r="N21" i="17"/>
  <c r="M21" i="17"/>
  <c r="L21" i="17"/>
  <c r="K21" i="17"/>
  <c r="J21" i="17"/>
  <c r="G21" i="17"/>
  <c r="F21" i="17"/>
  <c r="E21" i="17"/>
  <c r="D21" i="17"/>
  <c r="C21" i="17"/>
  <c r="B21" i="17"/>
  <c r="O20" i="17"/>
  <c r="N20" i="17"/>
  <c r="M20" i="17"/>
  <c r="L20" i="17"/>
  <c r="K20" i="17"/>
  <c r="J20" i="17"/>
  <c r="H20" i="17"/>
  <c r="G20" i="17"/>
  <c r="F20" i="17"/>
  <c r="E20" i="17"/>
  <c r="D20" i="17"/>
  <c r="C20" i="17"/>
  <c r="B20" i="17"/>
  <c r="O19" i="17"/>
  <c r="O25" i="17" s="1"/>
  <c r="N19" i="17"/>
  <c r="N25" i="17" s="1"/>
  <c r="M19" i="17"/>
  <c r="M25" i="17" s="1"/>
  <c r="L19" i="17"/>
  <c r="L25" i="17" s="1"/>
  <c r="K19" i="17"/>
  <c r="K25" i="17" s="1"/>
  <c r="J19" i="17"/>
  <c r="J25" i="17" s="1"/>
  <c r="H19" i="17"/>
  <c r="H25" i="17" s="1"/>
  <c r="G19" i="17"/>
  <c r="G25" i="17" s="1"/>
  <c r="F19" i="17"/>
  <c r="F25" i="17" s="1"/>
  <c r="E19" i="17"/>
  <c r="E25" i="17" s="1"/>
  <c r="D19" i="17"/>
  <c r="D25" i="17" s="1"/>
  <c r="C19" i="17"/>
  <c r="C25" i="17" s="1"/>
  <c r="B19" i="17"/>
  <c r="B25" i="17" s="1"/>
  <c r="L17" i="17"/>
  <c r="K17" i="17"/>
  <c r="D17" i="17"/>
  <c r="C14" i="17"/>
  <c r="P13" i="17"/>
  <c r="M13" i="17"/>
  <c r="K13" i="17"/>
  <c r="J13" i="17"/>
  <c r="H13" i="17"/>
  <c r="P12" i="17"/>
  <c r="O12" i="17"/>
  <c r="N12" i="17"/>
  <c r="M12" i="17"/>
  <c r="L12" i="17"/>
  <c r="K12" i="17"/>
  <c r="J12" i="17"/>
  <c r="H12" i="17"/>
  <c r="G12" i="17"/>
  <c r="F12" i="17"/>
  <c r="E12" i="17"/>
  <c r="D12" i="17"/>
  <c r="C12" i="17"/>
  <c r="B12" i="17"/>
  <c r="P11" i="17"/>
  <c r="P14" i="17" s="1"/>
  <c r="H11" i="17"/>
  <c r="O10" i="17"/>
  <c r="N10" i="17"/>
  <c r="M10" i="17"/>
  <c r="L10" i="17"/>
  <c r="L14" i="17" s="1"/>
  <c r="K10" i="17"/>
  <c r="J10" i="17"/>
  <c r="G10" i="17"/>
  <c r="F10" i="17"/>
  <c r="E10" i="17"/>
  <c r="D10" i="17"/>
  <c r="C10" i="17"/>
  <c r="B10" i="17"/>
  <c r="O9" i="17"/>
  <c r="N9" i="17"/>
  <c r="M9" i="17"/>
  <c r="L9" i="17"/>
  <c r="K9" i="17"/>
  <c r="J9" i="17"/>
  <c r="J14" i="17" s="1"/>
  <c r="H9" i="17"/>
  <c r="G9" i="17"/>
  <c r="F9" i="17"/>
  <c r="E9" i="17"/>
  <c r="D9" i="17"/>
  <c r="C9" i="17"/>
  <c r="B9" i="17"/>
  <c r="O8" i="17"/>
  <c r="O14" i="17" s="1"/>
  <c r="N8" i="17"/>
  <c r="N14" i="17" s="1"/>
  <c r="M8" i="17"/>
  <c r="M14" i="17" s="1"/>
  <c r="L8" i="17"/>
  <c r="K8" i="17"/>
  <c r="K14" i="17" s="1"/>
  <c r="J8" i="17"/>
  <c r="H8" i="17"/>
  <c r="H14" i="17" s="1"/>
  <c r="G8" i="17"/>
  <c r="G14" i="17" s="1"/>
  <c r="F8" i="17"/>
  <c r="F14" i="17" s="1"/>
  <c r="E8" i="17"/>
  <c r="E14" i="17" s="1"/>
  <c r="D8" i="17"/>
  <c r="D14" i="17" s="1"/>
  <c r="C8" i="17"/>
  <c r="B8" i="17"/>
  <c r="B14" i="17" s="1"/>
  <c r="M6" i="17"/>
  <c r="D6" i="17"/>
  <c r="H3" i="17"/>
  <c r="P24" i="16" l="1"/>
  <c r="H24" i="16"/>
  <c r="P23" i="16"/>
  <c r="P25" i="16" s="1"/>
  <c r="O23" i="16"/>
  <c r="N23" i="16"/>
  <c r="M23" i="16"/>
  <c r="L23" i="16"/>
  <c r="K23" i="16"/>
  <c r="J23" i="16"/>
  <c r="H23" i="16"/>
  <c r="G23" i="16"/>
  <c r="F23" i="16"/>
  <c r="E23" i="16"/>
  <c r="D23" i="16"/>
  <c r="C23" i="16"/>
  <c r="B23" i="16"/>
  <c r="P22" i="16"/>
  <c r="H22" i="16"/>
  <c r="O21" i="16"/>
  <c r="N21" i="16"/>
  <c r="M21" i="16"/>
  <c r="L21" i="16"/>
  <c r="K21" i="16"/>
  <c r="J21" i="16"/>
  <c r="G21" i="16"/>
  <c r="F21" i="16"/>
  <c r="E21" i="16"/>
  <c r="D21" i="16"/>
  <c r="C21" i="16"/>
  <c r="B21" i="16"/>
  <c r="O20" i="16"/>
  <c r="N20" i="16"/>
  <c r="M20" i="16"/>
  <c r="L20" i="16"/>
  <c r="K20" i="16"/>
  <c r="J20" i="16"/>
  <c r="H20" i="16"/>
  <c r="G20" i="16"/>
  <c r="F20" i="16"/>
  <c r="E20" i="16"/>
  <c r="D20" i="16"/>
  <c r="C20" i="16"/>
  <c r="B20" i="16"/>
  <c r="O19" i="16"/>
  <c r="O25" i="16" s="1"/>
  <c r="N19" i="16"/>
  <c r="N25" i="16" s="1"/>
  <c r="M19" i="16"/>
  <c r="M25" i="16" s="1"/>
  <c r="L19" i="16"/>
  <c r="L25" i="16" s="1"/>
  <c r="K19" i="16"/>
  <c r="K25" i="16" s="1"/>
  <c r="J19" i="16"/>
  <c r="J25" i="16" s="1"/>
  <c r="H19" i="16"/>
  <c r="H25" i="16" s="1"/>
  <c r="G19" i="16"/>
  <c r="G25" i="16" s="1"/>
  <c r="F19" i="16"/>
  <c r="F25" i="16" s="1"/>
  <c r="E19" i="16"/>
  <c r="E25" i="16" s="1"/>
  <c r="D19" i="16"/>
  <c r="D25" i="16" s="1"/>
  <c r="C19" i="16"/>
  <c r="C25" i="16" s="1"/>
  <c r="B19" i="16"/>
  <c r="B25" i="16" s="1"/>
  <c r="L17" i="16"/>
  <c r="K17" i="16"/>
  <c r="D17" i="16"/>
  <c r="H14" i="16"/>
  <c r="F14" i="16"/>
  <c r="P13" i="16"/>
  <c r="M13" i="16"/>
  <c r="K13" i="16"/>
  <c r="J13" i="16"/>
  <c r="H13" i="16"/>
  <c r="P12" i="16"/>
  <c r="O12" i="16"/>
  <c r="N12" i="16"/>
  <c r="M12" i="16"/>
  <c r="L12" i="16"/>
  <c r="K12" i="16"/>
  <c r="J12" i="16"/>
  <c r="H12" i="16"/>
  <c r="G12" i="16"/>
  <c r="F12" i="16"/>
  <c r="E12" i="16"/>
  <c r="D12" i="16"/>
  <c r="C12" i="16"/>
  <c r="B12" i="16"/>
  <c r="P11" i="16"/>
  <c r="P14" i="16" s="1"/>
  <c r="H11" i="16"/>
  <c r="O10" i="16"/>
  <c r="O14" i="16" s="1"/>
  <c r="N10" i="16"/>
  <c r="M10" i="16"/>
  <c r="L10" i="16"/>
  <c r="K10" i="16"/>
  <c r="J10" i="16"/>
  <c r="G10" i="16"/>
  <c r="F10" i="16"/>
  <c r="E10" i="16"/>
  <c r="D10" i="16"/>
  <c r="C10" i="16"/>
  <c r="B10" i="16"/>
  <c r="O9" i="16"/>
  <c r="N9" i="16"/>
  <c r="M9" i="16"/>
  <c r="M14" i="16" s="1"/>
  <c r="L9" i="16"/>
  <c r="K9" i="16"/>
  <c r="J9" i="16"/>
  <c r="H9" i="16"/>
  <c r="G9" i="16"/>
  <c r="F9" i="16"/>
  <c r="E9" i="16"/>
  <c r="D9" i="16"/>
  <c r="D14" i="16" s="1"/>
  <c r="C9" i="16"/>
  <c r="B9" i="16"/>
  <c r="O8" i="16"/>
  <c r="N8" i="16"/>
  <c r="N14" i="16" s="1"/>
  <c r="M8" i="16"/>
  <c r="L8" i="16"/>
  <c r="L14" i="16" s="1"/>
  <c r="K8" i="16"/>
  <c r="K14" i="16" s="1"/>
  <c r="J8" i="16"/>
  <c r="J14" i="16" s="1"/>
  <c r="H8" i="16"/>
  <c r="G8" i="16"/>
  <c r="G14" i="16" s="1"/>
  <c r="F8" i="16"/>
  <c r="E8" i="16"/>
  <c r="E14" i="16" s="1"/>
  <c r="D8" i="16"/>
  <c r="C8" i="16"/>
  <c r="C14" i="16" s="1"/>
  <c r="B8" i="16"/>
  <c r="B14" i="16" s="1"/>
  <c r="M6" i="16"/>
  <c r="D6" i="16"/>
  <c r="H3" i="16"/>
  <c r="C15" i="2" l="1"/>
  <c r="F15" i="2"/>
  <c r="F5" i="2"/>
  <c r="C5" i="2"/>
  <c r="C16" i="2" s="1"/>
  <c r="C6" i="2"/>
  <c r="C7" i="2"/>
  <c r="C8" i="2"/>
  <c r="C9" i="2"/>
  <c r="C10" i="2"/>
  <c r="C11" i="2"/>
  <c r="C12" i="2"/>
  <c r="C13" i="2"/>
  <c r="C14" i="2"/>
  <c r="D13" i="1"/>
  <c r="P24" i="13"/>
  <c r="H24" i="13"/>
  <c r="H25" i="13" s="1"/>
  <c r="O23" i="13"/>
  <c r="N23" i="13"/>
  <c r="M23" i="13"/>
  <c r="L23" i="13"/>
  <c r="K23" i="13"/>
  <c r="J23" i="13"/>
  <c r="G23" i="13"/>
  <c r="F23" i="13"/>
  <c r="E23" i="13"/>
  <c r="D23" i="13"/>
  <c r="C23" i="13"/>
  <c r="B23" i="13"/>
  <c r="P22" i="13"/>
  <c r="H22" i="13"/>
  <c r="O21" i="13"/>
  <c r="N21" i="13"/>
  <c r="M21" i="13"/>
  <c r="L21" i="13"/>
  <c r="K21" i="13"/>
  <c r="J21" i="13"/>
  <c r="G21" i="13"/>
  <c r="F21" i="13"/>
  <c r="E21" i="13"/>
  <c r="D21" i="13"/>
  <c r="C21" i="13"/>
  <c r="B21" i="13"/>
  <c r="O20" i="13"/>
  <c r="N20" i="13"/>
  <c r="M20" i="13"/>
  <c r="L20" i="13"/>
  <c r="K20" i="13"/>
  <c r="J20" i="13"/>
  <c r="H20" i="13"/>
  <c r="G20" i="13"/>
  <c r="F20" i="13"/>
  <c r="E20" i="13"/>
  <c r="D20" i="13"/>
  <c r="C20" i="13"/>
  <c r="B20" i="13"/>
  <c r="O19" i="13"/>
  <c r="O25" i="13" s="1"/>
  <c r="N19" i="13"/>
  <c r="M19" i="13"/>
  <c r="M25" i="13" s="1"/>
  <c r="L19" i="13"/>
  <c r="K19" i="13"/>
  <c r="J19" i="13"/>
  <c r="G19" i="13"/>
  <c r="F19" i="13"/>
  <c r="E19" i="13"/>
  <c r="E25" i="13" s="1"/>
  <c r="D19" i="13"/>
  <c r="C19" i="13"/>
  <c r="C25" i="13" s="1"/>
  <c r="B19" i="13"/>
  <c r="L17" i="13"/>
  <c r="K17" i="13"/>
  <c r="D17" i="13"/>
  <c r="P13" i="13"/>
  <c r="M13" i="13"/>
  <c r="K13" i="13"/>
  <c r="J13" i="13"/>
  <c r="H13" i="13"/>
  <c r="B13" i="13"/>
  <c r="O12" i="13"/>
  <c r="N12" i="13"/>
  <c r="M12" i="13"/>
  <c r="L12" i="13"/>
  <c r="K12" i="13"/>
  <c r="J12" i="13"/>
  <c r="G12" i="13"/>
  <c r="F12" i="13"/>
  <c r="E12" i="13"/>
  <c r="D12" i="13"/>
  <c r="C12" i="13"/>
  <c r="B12" i="13"/>
  <c r="P11" i="13"/>
  <c r="P14" i="13" s="1"/>
  <c r="H11" i="13"/>
  <c r="O10" i="13"/>
  <c r="N10" i="13"/>
  <c r="M10" i="13"/>
  <c r="L10" i="13"/>
  <c r="K10" i="13"/>
  <c r="J10" i="13"/>
  <c r="G10" i="13"/>
  <c r="F10" i="13"/>
  <c r="E10" i="13"/>
  <c r="D10" i="13"/>
  <c r="C10" i="13"/>
  <c r="B10" i="13"/>
  <c r="O9" i="13"/>
  <c r="N9" i="13"/>
  <c r="M9" i="13"/>
  <c r="L9" i="13"/>
  <c r="K9" i="13"/>
  <c r="J9" i="13"/>
  <c r="H9" i="13"/>
  <c r="G9" i="13"/>
  <c r="F9" i="13"/>
  <c r="E9" i="13"/>
  <c r="D9" i="13"/>
  <c r="C9" i="13"/>
  <c r="B9" i="13"/>
  <c r="O8" i="13"/>
  <c r="N8" i="13"/>
  <c r="M8" i="13"/>
  <c r="L8" i="13"/>
  <c r="K8" i="13"/>
  <c r="J8" i="13"/>
  <c r="J14" i="13" s="1"/>
  <c r="G8" i="13"/>
  <c r="F8" i="13"/>
  <c r="E8" i="13"/>
  <c r="D8" i="13"/>
  <c r="C8" i="13"/>
  <c r="B8" i="13"/>
  <c r="K6" i="13"/>
  <c r="D6" i="13"/>
  <c r="G3" i="13"/>
  <c r="N14" i="13" l="1"/>
  <c r="P25" i="13"/>
  <c r="K25" i="13"/>
  <c r="O14" i="13"/>
  <c r="L14" i="13"/>
  <c r="C14" i="13"/>
  <c r="M14" i="13"/>
  <c r="F25" i="13"/>
  <c r="D14" i="13"/>
  <c r="H14" i="13"/>
  <c r="G25" i="13"/>
  <c r="B14" i="13"/>
  <c r="E14" i="13"/>
  <c r="J25" i="13"/>
  <c r="G14" i="13"/>
  <c r="F14" i="13"/>
  <c r="B25" i="13"/>
  <c r="L25" i="13"/>
  <c r="K14" i="13"/>
  <c r="D25" i="13"/>
  <c r="N25" i="13"/>
  <c r="P24" i="12"/>
  <c r="H24" i="12"/>
  <c r="O23" i="12"/>
  <c r="N23" i="12"/>
  <c r="M23" i="12"/>
  <c r="L23" i="12"/>
  <c r="K23" i="12"/>
  <c r="J23" i="12"/>
  <c r="G23" i="12"/>
  <c r="F23" i="12"/>
  <c r="E23" i="12"/>
  <c r="D23" i="12"/>
  <c r="C23" i="12"/>
  <c r="B23" i="12"/>
  <c r="P22" i="12"/>
  <c r="P25" i="12" s="1"/>
  <c r="H22" i="12"/>
  <c r="O21" i="12"/>
  <c r="N21" i="12"/>
  <c r="M21" i="12"/>
  <c r="L21" i="12"/>
  <c r="K21" i="12"/>
  <c r="J21" i="12"/>
  <c r="G21" i="12"/>
  <c r="F21" i="12"/>
  <c r="E21" i="12"/>
  <c r="D21" i="12"/>
  <c r="C21" i="12"/>
  <c r="B21" i="12"/>
  <c r="O20" i="12"/>
  <c r="N20" i="12"/>
  <c r="M20" i="12"/>
  <c r="L20" i="12"/>
  <c r="K20" i="12"/>
  <c r="J20" i="12"/>
  <c r="H20" i="12"/>
  <c r="G20" i="12"/>
  <c r="F20" i="12"/>
  <c r="E20" i="12"/>
  <c r="D20" i="12"/>
  <c r="C20" i="12"/>
  <c r="B20" i="12"/>
  <c r="O19" i="12"/>
  <c r="N19" i="12"/>
  <c r="M19" i="12"/>
  <c r="M25" i="12" s="1"/>
  <c r="L19" i="12"/>
  <c r="K19" i="12"/>
  <c r="J19" i="12"/>
  <c r="G19" i="12"/>
  <c r="F19" i="12"/>
  <c r="E19" i="12"/>
  <c r="D19" i="12"/>
  <c r="C19" i="12"/>
  <c r="C25" i="12" s="1"/>
  <c r="B19" i="12"/>
  <c r="L17" i="12"/>
  <c r="K17" i="12"/>
  <c r="D17" i="12"/>
  <c r="P13" i="12"/>
  <c r="M13" i="12"/>
  <c r="K13" i="12"/>
  <c r="J13" i="12"/>
  <c r="H13" i="12"/>
  <c r="B13" i="12"/>
  <c r="O12" i="12"/>
  <c r="N12" i="12"/>
  <c r="M12" i="12"/>
  <c r="L12" i="12"/>
  <c r="K12" i="12"/>
  <c r="J12" i="12"/>
  <c r="G12" i="12"/>
  <c r="F12" i="12"/>
  <c r="E12" i="12"/>
  <c r="D12" i="12"/>
  <c r="C12" i="12"/>
  <c r="B12" i="12"/>
  <c r="P11" i="12"/>
  <c r="P14" i="12" s="1"/>
  <c r="H11" i="12"/>
  <c r="O10" i="12"/>
  <c r="N10" i="12"/>
  <c r="M10" i="12"/>
  <c r="L10" i="12"/>
  <c r="K10" i="12"/>
  <c r="J10" i="12"/>
  <c r="G10" i="12"/>
  <c r="G14" i="12" s="1"/>
  <c r="F10" i="12"/>
  <c r="E10" i="12"/>
  <c r="D10" i="12"/>
  <c r="C10" i="12"/>
  <c r="B10" i="12"/>
  <c r="O9" i="12"/>
  <c r="N9" i="12"/>
  <c r="M9" i="12"/>
  <c r="L9" i="12"/>
  <c r="K9" i="12"/>
  <c r="J9" i="12"/>
  <c r="H9" i="12"/>
  <c r="H14" i="12" s="1"/>
  <c r="G9" i="12"/>
  <c r="F9" i="12"/>
  <c r="E9" i="12"/>
  <c r="D9" i="12"/>
  <c r="C9" i="12"/>
  <c r="B9" i="12"/>
  <c r="O8" i="12"/>
  <c r="N8" i="12"/>
  <c r="N14" i="12" s="1"/>
  <c r="M8" i="12"/>
  <c r="L8" i="12"/>
  <c r="K8" i="12"/>
  <c r="J8" i="12"/>
  <c r="J14" i="12" s="1"/>
  <c r="G8" i="12"/>
  <c r="F8" i="12"/>
  <c r="E8" i="12"/>
  <c r="D8" i="12"/>
  <c r="C8" i="12"/>
  <c r="B8" i="12"/>
  <c r="K6" i="12"/>
  <c r="D6" i="12"/>
  <c r="G3" i="12"/>
  <c r="P24" i="11"/>
  <c r="H24" i="11"/>
  <c r="O23" i="11"/>
  <c r="N23" i="11"/>
  <c r="M23" i="11"/>
  <c r="L23" i="11"/>
  <c r="K23" i="11"/>
  <c r="J23" i="11"/>
  <c r="G23" i="11"/>
  <c r="F23" i="11"/>
  <c r="E23" i="11"/>
  <c r="D23" i="11"/>
  <c r="C23" i="11"/>
  <c r="B23" i="11"/>
  <c r="P22" i="11"/>
  <c r="P25" i="11" s="1"/>
  <c r="H22" i="11"/>
  <c r="O21" i="11"/>
  <c r="N21" i="11"/>
  <c r="M21" i="11"/>
  <c r="L21" i="11"/>
  <c r="K21" i="11"/>
  <c r="J21" i="11"/>
  <c r="G21" i="11"/>
  <c r="F21" i="11"/>
  <c r="E21" i="11"/>
  <c r="D21" i="11"/>
  <c r="C21" i="11"/>
  <c r="B21" i="11"/>
  <c r="O20" i="11"/>
  <c r="N20" i="11"/>
  <c r="M20" i="11"/>
  <c r="L20" i="11"/>
  <c r="K20" i="11"/>
  <c r="J20" i="11"/>
  <c r="H20" i="11"/>
  <c r="H25" i="11" s="1"/>
  <c r="G20" i="11"/>
  <c r="F20" i="11"/>
  <c r="E20" i="11"/>
  <c r="D20" i="11"/>
  <c r="C20" i="11"/>
  <c r="B20" i="11"/>
  <c r="O19" i="11"/>
  <c r="N19" i="11"/>
  <c r="N25" i="11" s="1"/>
  <c r="M19" i="11"/>
  <c r="L19" i="11"/>
  <c r="K19" i="11"/>
  <c r="J19" i="11"/>
  <c r="J25" i="11" s="1"/>
  <c r="G19" i="11"/>
  <c r="F19" i="11"/>
  <c r="E19" i="11"/>
  <c r="D19" i="11"/>
  <c r="C19" i="11"/>
  <c r="B19" i="11"/>
  <c r="L17" i="11"/>
  <c r="K17" i="11"/>
  <c r="D17" i="11"/>
  <c r="P13" i="11"/>
  <c r="M13" i="11"/>
  <c r="K13" i="11"/>
  <c r="J13" i="11"/>
  <c r="H13" i="11"/>
  <c r="B13" i="11"/>
  <c r="O12" i="11"/>
  <c r="N12" i="11"/>
  <c r="M12" i="11"/>
  <c r="L12" i="11"/>
  <c r="K12" i="11"/>
  <c r="J12" i="11"/>
  <c r="G12" i="11"/>
  <c r="F12" i="11"/>
  <c r="E12" i="11"/>
  <c r="D12" i="11"/>
  <c r="C12" i="11"/>
  <c r="B12" i="11"/>
  <c r="P11" i="11"/>
  <c r="H11" i="11"/>
  <c r="O10" i="11"/>
  <c r="N10" i="11"/>
  <c r="M10" i="11"/>
  <c r="L10" i="11"/>
  <c r="K10" i="11"/>
  <c r="J10" i="11"/>
  <c r="G10" i="11"/>
  <c r="F10" i="11"/>
  <c r="E10" i="11"/>
  <c r="D10" i="11"/>
  <c r="C10" i="11"/>
  <c r="B10" i="11"/>
  <c r="O9" i="11"/>
  <c r="N9" i="11"/>
  <c r="M9" i="11"/>
  <c r="L9" i="11"/>
  <c r="K9" i="11"/>
  <c r="J9" i="11"/>
  <c r="H9" i="11"/>
  <c r="G9" i="11"/>
  <c r="F9" i="11"/>
  <c r="E9" i="11"/>
  <c r="D9" i="11"/>
  <c r="C9" i="11"/>
  <c r="B9" i="11"/>
  <c r="O8" i="11"/>
  <c r="O14" i="11" s="1"/>
  <c r="N8" i="11"/>
  <c r="M8" i="11"/>
  <c r="L8" i="11"/>
  <c r="K8" i="11"/>
  <c r="K14" i="11" s="1"/>
  <c r="J8" i="11"/>
  <c r="G8" i="11"/>
  <c r="F8" i="11"/>
  <c r="E8" i="11"/>
  <c r="E14" i="11" s="1"/>
  <c r="D8" i="11"/>
  <c r="C8" i="11"/>
  <c r="B8" i="11"/>
  <c r="K6" i="11"/>
  <c r="D6" i="11"/>
  <c r="G3" i="11"/>
  <c r="N24" i="10"/>
  <c r="G24" i="10"/>
  <c r="D24" i="10"/>
  <c r="J23" i="10"/>
  <c r="I23" i="10"/>
  <c r="E23" i="10"/>
  <c r="B23" i="10"/>
  <c r="N22" i="10"/>
  <c r="G22" i="10"/>
  <c r="F22" i="10"/>
  <c r="E22" i="10"/>
  <c r="D22" i="10"/>
  <c r="C22" i="10"/>
  <c r="M21" i="10"/>
  <c r="L21" i="10"/>
  <c r="K21" i="10"/>
  <c r="J21" i="10"/>
  <c r="I21" i="10"/>
  <c r="F21" i="10"/>
  <c r="E21" i="10"/>
  <c r="D21" i="10"/>
  <c r="C21" i="10"/>
  <c r="B21" i="10"/>
  <c r="M20" i="10"/>
  <c r="L20" i="10"/>
  <c r="K20" i="10"/>
  <c r="J20" i="10"/>
  <c r="I20" i="10"/>
  <c r="F20" i="10"/>
  <c r="E20" i="10"/>
  <c r="D20" i="10"/>
  <c r="C20" i="10"/>
  <c r="B20" i="10"/>
  <c r="M19" i="10"/>
  <c r="M25" i="10" s="1"/>
  <c r="L19" i="10"/>
  <c r="K19" i="10"/>
  <c r="J19" i="10"/>
  <c r="I19" i="10"/>
  <c r="F19" i="10"/>
  <c r="E19" i="10"/>
  <c r="D19" i="10"/>
  <c r="D25" i="10" s="1"/>
  <c r="C19" i="10"/>
  <c r="C25" i="10" s="1"/>
  <c r="B19" i="10"/>
  <c r="N13" i="10"/>
  <c r="M13" i="10"/>
  <c r="G13" i="10"/>
  <c r="F13" i="10"/>
  <c r="D13" i="10"/>
  <c r="C13" i="10"/>
  <c r="B13" i="10"/>
  <c r="M12" i="10"/>
  <c r="I12" i="10"/>
  <c r="G12" i="10"/>
  <c r="F12" i="10"/>
  <c r="E12" i="10"/>
  <c r="B12" i="10"/>
  <c r="N11" i="10"/>
  <c r="N14" i="10" s="1"/>
  <c r="M11" i="10"/>
  <c r="G11" i="10"/>
  <c r="F11" i="10"/>
  <c r="E11" i="10"/>
  <c r="D11" i="10"/>
  <c r="C11" i="10"/>
  <c r="M10" i="10"/>
  <c r="L10" i="10"/>
  <c r="K10" i="10"/>
  <c r="J10" i="10"/>
  <c r="I10" i="10"/>
  <c r="G10" i="10"/>
  <c r="F10" i="10"/>
  <c r="E10" i="10"/>
  <c r="D10" i="10"/>
  <c r="C10" i="10"/>
  <c r="B10" i="10"/>
  <c r="M9" i="10"/>
  <c r="L9" i="10"/>
  <c r="K9" i="10"/>
  <c r="J9" i="10"/>
  <c r="I9" i="10"/>
  <c r="G9" i="10"/>
  <c r="F9" i="10"/>
  <c r="E9" i="10"/>
  <c r="D9" i="10"/>
  <c r="C9" i="10"/>
  <c r="B9" i="10"/>
  <c r="M8" i="10"/>
  <c r="L8" i="10"/>
  <c r="K8" i="10"/>
  <c r="J8" i="10"/>
  <c r="I8" i="10"/>
  <c r="G8" i="10"/>
  <c r="F8" i="10"/>
  <c r="E8" i="10"/>
  <c r="D8" i="10"/>
  <c r="D14" i="10" s="1"/>
  <c r="C8" i="10"/>
  <c r="B8" i="10"/>
  <c r="O24" i="9"/>
  <c r="H24" i="9"/>
  <c r="E24" i="9"/>
  <c r="K23" i="9"/>
  <c r="J23" i="9"/>
  <c r="D23" i="9"/>
  <c r="B23" i="9"/>
  <c r="O22" i="9"/>
  <c r="N22" i="9"/>
  <c r="M22" i="9"/>
  <c r="H22" i="9"/>
  <c r="G22" i="9"/>
  <c r="F22" i="9"/>
  <c r="E22" i="9"/>
  <c r="C22" i="9"/>
  <c r="N21" i="9"/>
  <c r="M21" i="9"/>
  <c r="L21" i="9"/>
  <c r="K21" i="9"/>
  <c r="J21" i="9"/>
  <c r="G21" i="9"/>
  <c r="F21" i="9"/>
  <c r="E21" i="9"/>
  <c r="D21" i="9"/>
  <c r="C21" i="9"/>
  <c r="B21" i="9"/>
  <c r="N20" i="9"/>
  <c r="M20" i="9"/>
  <c r="L20" i="9"/>
  <c r="K20" i="9"/>
  <c r="J20" i="9"/>
  <c r="G20" i="9"/>
  <c r="F20" i="9"/>
  <c r="E20" i="9"/>
  <c r="D20" i="9"/>
  <c r="C20" i="9"/>
  <c r="B20" i="9"/>
  <c r="N19" i="9"/>
  <c r="N25" i="9" s="1"/>
  <c r="M19" i="9"/>
  <c r="L19" i="9"/>
  <c r="K19" i="9"/>
  <c r="J19" i="9"/>
  <c r="J25" i="9" s="1"/>
  <c r="G19" i="9"/>
  <c r="F19" i="9"/>
  <c r="E19" i="9"/>
  <c r="D19" i="9"/>
  <c r="D25" i="9" s="1"/>
  <c r="C19" i="9"/>
  <c r="B19" i="9"/>
  <c r="J14" i="9"/>
  <c r="O13" i="9"/>
  <c r="O14" i="9" s="1"/>
  <c r="H13" i="9"/>
  <c r="N12" i="9"/>
  <c r="M12" i="9"/>
  <c r="L12" i="9"/>
  <c r="K12" i="9"/>
  <c r="J12" i="9"/>
  <c r="G12" i="9"/>
  <c r="F12" i="9"/>
  <c r="E12" i="9"/>
  <c r="D12" i="9"/>
  <c r="C12" i="9"/>
  <c r="B12" i="9"/>
  <c r="O11" i="9"/>
  <c r="H11" i="9"/>
  <c r="N10" i="9"/>
  <c r="M10" i="9"/>
  <c r="L10" i="9"/>
  <c r="K10" i="9"/>
  <c r="J10" i="9"/>
  <c r="G10" i="9"/>
  <c r="F10" i="9"/>
  <c r="E10" i="9"/>
  <c r="D10" i="9"/>
  <c r="C10" i="9"/>
  <c r="B10" i="9"/>
  <c r="N9" i="9"/>
  <c r="M9" i="9"/>
  <c r="L9" i="9"/>
  <c r="K9" i="9"/>
  <c r="J9" i="9"/>
  <c r="G9" i="9"/>
  <c r="F9" i="9"/>
  <c r="E9" i="9"/>
  <c r="D9" i="9"/>
  <c r="C9" i="9"/>
  <c r="B9" i="9"/>
  <c r="N8" i="9"/>
  <c r="M8" i="9"/>
  <c r="L8" i="9"/>
  <c r="K8" i="9"/>
  <c r="K14" i="9" s="1"/>
  <c r="J8" i="9"/>
  <c r="G8" i="9"/>
  <c r="F8" i="9"/>
  <c r="E8" i="9"/>
  <c r="E14" i="9" s="1"/>
  <c r="D8" i="9"/>
  <c r="C8" i="9"/>
  <c r="B8" i="9"/>
  <c r="O24" i="8"/>
  <c r="H24" i="8"/>
  <c r="N23" i="8"/>
  <c r="M23" i="8"/>
  <c r="L23" i="8"/>
  <c r="K23" i="8"/>
  <c r="J23" i="8"/>
  <c r="G23" i="8"/>
  <c r="F23" i="8"/>
  <c r="E23" i="8"/>
  <c r="D23" i="8"/>
  <c r="C23" i="8"/>
  <c r="B23" i="8"/>
  <c r="O22" i="8"/>
  <c r="H22" i="8"/>
  <c r="N21" i="8"/>
  <c r="M21" i="8"/>
  <c r="L21" i="8"/>
  <c r="K21" i="8"/>
  <c r="J21" i="8"/>
  <c r="G21" i="8"/>
  <c r="F21" i="8"/>
  <c r="E21" i="8"/>
  <c r="D21" i="8"/>
  <c r="C21" i="8"/>
  <c r="B21" i="8"/>
  <c r="N20" i="8"/>
  <c r="M20" i="8"/>
  <c r="L20" i="8"/>
  <c r="K20" i="8"/>
  <c r="J20" i="8"/>
  <c r="H20" i="8"/>
  <c r="H25" i="8" s="1"/>
  <c r="G20" i="8"/>
  <c r="F20" i="8"/>
  <c r="E20" i="8"/>
  <c r="D20" i="8"/>
  <c r="C20" i="8"/>
  <c r="B20" i="8"/>
  <c r="N19" i="8"/>
  <c r="M19" i="8"/>
  <c r="L19" i="8"/>
  <c r="L25" i="8" s="1"/>
  <c r="K19" i="8"/>
  <c r="K25" i="8" s="1"/>
  <c r="J19" i="8"/>
  <c r="G19" i="8"/>
  <c r="F19" i="8"/>
  <c r="E19" i="8"/>
  <c r="E25" i="8" s="1"/>
  <c r="D19" i="8"/>
  <c r="C19" i="8"/>
  <c r="B19" i="8"/>
  <c r="B25" i="8" s="1"/>
  <c r="K17" i="8"/>
  <c r="D17" i="8"/>
  <c r="O13" i="8"/>
  <c r="L13" i="8"/>
  <c r="K13" i="8"/>
  <c r="J13" i="8"/>
  <c r="H13" i="8"/>
  <c r="B13" i="8"/>
  <c r="N12" i="8"/>
  <c r="M12" i="8"/>
  <c r="L12" i="8"/>
  <c r="K12" i="8"/>
  <c r="J12" i="8"/>
  <c r="G12" i="8"/>
  <c r="F12" i="8"/>
  <c r="E12" i="8"/>
  <c r="D12" i="8"/>
  <c r="C12" i="8"/>
  <c r="B12" i="8"/>
  <c r="O11" i="8"/>
  <c r="O14" i="8" s="1"/>
  <c r="H11" i="8"/>
  <c r="N10" i="8"/>
  <c r="M10" i="8"/>
  <c r="L10" i="8"/>
  <c r="L14" i="8" s="1"/>
  <c r="K10" i="8"/>
  <c r="J10" i="8"/>
  <c r="G10" i="8"/>
  <c r="F10" i="8"/>
  <c r="E10" i="8"/>
  <c r="D10" i="8"/>
  <c r="C10" i="8"/>
  <c r="B10" i="8"/>
  <c r="N9" i="8"/>
  <c r="M9" i="8"/>
  <c r="L9" i="8"/>
  <c r="K9" i="8"/>
  <c r="J9" i="8"/>
  <c r="H9" i="8"/>
  <c r="G9" i="8"/>
  <c r="F9" i="8"/>
  <c r="E9" i="8"/>
  <c r="D9" i="8"/>
  <c r="C9" i="8"/>
  <c r="B9" i="8"/>
  <c r="N8" i="8"/>
  <c r="N14" i="8" s="1"/>
  <c r="M8" i="8"/>
  <c r="L8" i="8"/>
  <c r="K8" i="8"/>
  <c r="J8" i="8"/>
  <c r="J14" i="8" s="1"/>
  <c r="G8" i="8"/>
  <c r="F8" i="8"/>
  <c r="F14" i="8" s="1"/>
  <c r="E8" i="8"/>
  <c r="E14" i="8" s="1"/>
  <c r="D8" i="8"/>
  <c r="D14" i="8" s="1"/>
  <c r="C8" i="8"/>
  <c r="B8" i="8"/>
  <c r="B14" i="8" s="1"/>
  <c r="K6" i="8"/>
  <c r="D6" i="8"/>
  <c r="G3" i="8"/>
  <c r="O24" i="7"/>
  <c r="H24" i="7"/>
  <c r="N23" i="7"/>
  <c r="M23" i="7"/>
  <c r="L23" i="7"/>
  <c r="K23" i="7"/>
  <c r="J23" i="7"/>
  <c r="G23" i="7"/>
  <c r="F23" i="7"/>
  <c r="E23" i="7"/>
  <c r="D23" i="7"/>
  <c r="C23" i="7"/>
  <c r="B23" i="7"/>
  <c r="O22" i="7"/>
  <c r="H22" i="7"/>
  <c r="N21" i="7"/>
  <c r="M21" i="7"/>
  <c r="L21" i="7"/>
  <c r="K21" i="7"/>
  <c r="J21" i="7"/>
  <c r="G21" i="7"/>
  <c r="F21" i="7"/>
  <c r="E21" i="7"/>
  <c r="D21" i="7"/>
  <c r="C21" i="7"/>
  <c r="B21" i="7"/>
  <c r="N20" i="7"/>
  <c r="M20" i="7"/>
  <c r="L20" i="7"/>
  <c r="K20" i="7"/>
  <c r="J20" i="7"/>
  <c r="H20" i="7"/>
  <c r="G20" i="7"/>
  <c r="G25" i="7" s="1"/>
  <c r="F20" i="7"/>
  <c r="E20" i="7"/>
  <c r="D20" i="7"/>
  <c r="C20" i="7"/>
  <c r="B20" i="7"/>
  <c r="N19" i="7"/>
  <c r="M19" i="7"/>
  <c r="L19" i="7"/>
  <c r="L25" i="7" s="1"/>
  <c r="K19" i="7"/>
  <c r="K25" i="7" s="1"/>
  <c r="J19" i="7"/>
  <c r="G19" i="7"/>
  <c r="F19" i="7"/>
  <c r="E19" i="7"/>
  <c r="E25" i="7" s="1"/>
  <c r="D19" i="7"/>
  <c r="C19" i="7"/>
  <c r="B19" i="7"/>
  <c r="B25" i="7" s="1"/>
  <c r="K17" i="7"/>
  <c r="D17" i="7"/>
  <c r="O13" i="7"/>
  <c r="L13" i="7"/>
  <c r="K13" i="7"/>
  <c r="J13" i="7"/>
  <c r="H13" i="7"/>
  <c r="B13" i="7"/>
  <c r="N12" i="7"/>
  <c r="M12" i="7"/>
  <c r="L12" i="7"/>
  <c r="K12" i="7"/>
  <c r="J12" i="7"/>
  <c r="G12" i="7"/>
  <c r="F12" i="7"/>
  <c r="E12" i="7"/>
  <c r="D12" i="7"/>
  <c r="C12" i="7"/>
  <c r="B12" i="7"/>
  <c r="O11" i="7"/>
  <c r="H11" i="7"/>
  <c r="N10" i="7"/>
  <c r="M10" i="7"/>
  <c r="L10" i="7"/>
  <c r="K10" i="7"/>
  <c r="J10" i="7"/>
  <c r="G10" i="7"/>
  <c r="F10" i="7"/>
  <c r="E10" i="7"/>
  <c r="D10" i="7"/>
  <c r="C10" i="7"/>
  <c r="B10" i="7"/>
  <c r="N9" i="7"/>
  <c r="M9" i="7"/>
  <c r="L9" i="7"/>
  <c r="K9" i="7"/>
  <c r="J9" i="7"/>
  <c r="H9" i="7"/>
  <c r="G9" i="7"/>
  <c r="F9" i="7"/>
  <c r="E9" i="7"/>
  <c r="D9" i="7"/>
  <c r="C9" i="7"/>
  <c r="B9" i="7"/>
  <c r="N8" i="7"/>
  <c r="M8" i="7"/>
  <c r="L8" i="7"/>
  <c r="L14" i="7" s="1"/>
  <c r="K8" i="7"/>
  <c r="K14" i="7" s="1"/>
  <c r="J8" i="7"/>
  <c r="G8" i="7"/>
  <c r="G14" i="7" s="1"/>
  <c r="F8" i="7"/>
  <c r="E8" i="7"/>
  <c r="E14" i="7" s="1"/>
  <c r="D8" i="7"/>
  <c r="C8" i="7"/>
  <c r="B8" i="7"/>
  <c r="B14" i="7" s="1"/>
  <c r="K6" i="7"/>
  <c r="D6" i="7"/>
  <c r="G3" i="7"/>
  <c r="P24" i="6"/>
  <c r="H24" i="6"/>
  <c r="O23" i="6"/>
  <c r="N23" i="6"/>
  <c r="M23" i="6"/>
  <c r="L23" i="6"/>
  <c r="K23" i="6"/>
  <c r="J23" i="6"/>
  <c r="G23" i="6"/>
  <c r="F23" i="6"/>
  <c r="E23" i="6"/>
  <c r="D23" i="6"/>
  <c r="C23" i="6"/>
  <c r="B23" i="6"/>
  <c r="P22" i="6"/>
  <c r="H22" i="6"/>
  <c r="O21" i="6"/>
  <c r="N21" i="6"/>
  <c r="M21" i="6"/>
  <c r="L21" i="6"/>
  <c r="K21" i="6"/>
  <c r="J21" i="6"/>
  <c r="G21" i="6"/>
  <c r="F21" i="6"/>
  <c r="E21" i="6"/>
  <c r="D21" i="6"/>
  <c r="C21" i="6"/>
  <c r="B21" i="6"/>
  <c r="O20" i="6"/>
  <c r="N20" i="6"/>
  <c r="M20" i="6"/>
  <c r="L20" i="6"/>
  <c r="K20" i="6"/>
  <c r="J20" i="6"/>
  <c r="H20" i="6"/>
  <c r="G20" i="6"/>
  <c r="F20" i="6"/>
  <c r="E20" i="6"/>
  <c r="D20" i="6"/>
  <c r="C20" i="6"/>
  <c r="B20" i="6"/>
  <c r="O19" i="6"/>
  <c r="N19" i="6"/>
  <c r="M19" i="6"/>
  <c r="L19" i="6"/>
  <c r="L25" i="6" s="1"/>
  <c r="K19" i="6"/>
  <c r="J19" i="6"/>
  <c r="G19" i="6"/>
  <c r="F19" i="6"/>
  <c r="E19" i="6"/>
  <c r="D19" i="6"/>
  <c r="C19" i="6"/>
  <c r="B19" i="6"/>
  <c r="B25" i="6" s="1"/>
  <c r="L17" i="6"/>
  <c r="K17" i="6"/>
  <c r="D17" i="6"/>
  <c r="O14" i="6"/>
  <c r="P13" i="6"/>
  <c r="M13" i="6"/>
  <c r="K13" i="6"/>
  <c r="J13" i="6"/>
  <c r="H13" i="6"/>
  <c r="B13" i="6"/>
  <c r="O12" i="6"/>
  <c r="N12" i="6"/>
  <c r="M12" i="6"/>
  <c r="L12" i="6"/>
  <c r="K12" i="6"/>
  <c r="J12" i="6"/>
  <c r="G12" i="6"/>
  <c r="F12" i="6"/>
  <c r="E12" i="6"/>
  <c r="D12" i="6"/>
  <c r="C12" i="6"/>
  <c r="B12" i="6"/>
  <c r="P11" i="6"/>
  <c r="P14" i="6" s="1"/>
  <c r="H11" i="6"/>
  <c r="H14" i="6" s="1"/>
  <c r="O10" i="6"/>
  <c r="N10" i="6"/>
  <c r="M10" i="6"/>
  <c r="L10" i="6"/>
  <c r="K10" i="6"/>
  <c r="J10" i="6"/>
  <c r="G10" i="6"/>
  <c r="F10" i="6"/>
  <c r="F14" i="6" s="1"/>
  <c r="E10" i="6"/>
  <c r="D10" i="6"/>
  <c r="C10" i="6"/>
  <c r="B10" i="6"/>
  <c r="B14" i="6" s="1"/>
  <c r="O9" i="6"/>
  <c r="N9" i="6"/>
  <c r="M9" i="6"/>
  <c r="L9" i="6"/>
  <c r="K9" i="6"/>
  <c r="J9" i="6"/>
  <c r="H9" i="6"/>
  <c r="G9" i="6"/>
  <c r="F9" i="6"/>
  <c r="E9" i="6"/>
  <c r="D9" i="6"/>
  <c r="C9" i="6"/>
  <c r="B9" i="6"/>
  <c r="O8" i="6"/>
  <c r="N8" i="6"/>
  <c r="M8" i="6"/>
  <c r="M14" i="6" s="1"/>
  <c r="L8" i="6"/>
  <c r="K8" i="6"/>
  <c r="J8" i="6"/>
  <c r="G8" i="6"/>
  <c r="G14" i="6" s="1"/>
  <c r="F8" i="6"/>
  <c r="E8" i="6"/>
  <c r="D8" i="6"/>
  <c r="C8" i="6"/>
  <c r="B8" i="6"/>
  <c r="K6" i="6"/>
  <c r="D6" i="6"/>
  <c r="G3" i="6"/>
  <c r="P24" i="5"/>
  <c r="H24" i="5"/>
  <c r="O23" i="5"/>
  <c r="N23" i="5"/>
  <c r="M23" i="5"/>
  <c r="L23" i="5"/>
  <c r="K23" i="5"/>
  <c r="J23" i="5"/>
  <c r="G23" i="5"/>
  <c r="F23" i="5"/>
  <c r="E23" i="5"/>
  <c r="D23" i="5"/>
  <c r="C23" i="5"/>
  <c r="B23" i="5"/>
  <c r="P22" i="5"/>
  <c r="P25" i="5" s="1"/>
  <c r="H22" i="5"/>
  <c r="O21" i="5"/>
  <c r="N21" i="5"/>
  <c r="M21" i="5"/>
  <c r="L21" i="5"/>
  <c r="K21" i="5"/>
  <c r="J21" i="5"/>
  <c r="G21" i="5"/>
  <c r="F21" i="5"/>
  <c r="E21" i="5"/>
  <c r="D21" i="5"/>
  <c r="C21" i="5"/>
  <c r="B21" i="5"/>
  <c r="O20" i="5"/>
  <c r="N20" i="5"/>
  <c r="M20" i="5"/>
  <c r="L20" i="5"/>
  <c r="K20" i="5"/>
  <c r="J20" i="5"/>
  <c r="H20" i="5"/>
  <c r="G20" i="5"/>
  <c r="F20" i="5"/>
  <c r="E20" i="5"/>
  <c r="D20" i="5"/>
  <c r="C20" i="5"/>
  <c r="B20" i="5"/>
  <c r="O19" i="5"/>
  <c r="N19" i="5"/>
  <c r="M19" i="5"/>
  <c r="M25" i="5" s="1"/>
  <c r="L19" i="5"/>
  <c r="K19" i="5"/>
  <c r="J19" i="5"/>
  <c r="G19" i="5"/>
  <c r="G25" i="5" s="1"/>
  <c r="F19" i="5"/>
  <c r="E19" i="5"/>
  <c r="D19" i="5"/>
  <c r="C19" i="5"/>
  <c r="B19" i="5"/>
  <c r="K17" i="5"/>
  <c r="D17" i="5"/>
  <c r="P13" i="5"/>
  <c r="M13" i="5"/>
  <c r="K13" i="5"/>
  <c r="J13" i="5"/>
  <c r="H13" i="5"/>
  <c r="B13" i="5"/>
  <c r="O12" i="5"/>
  <c r="N12" i="5"/>
  <c r="N14" i="5" s="1"/>
  <c r="M12" i="5"/>
  <c r="L12" i="5"/>
  <c r="K12" i="5"/>
  <c r="J12" i="5"/>
  <c r="G12" i="5"/>
  <c r="F12" i="5"/>
  <c r="E12" i="5"/>
  <c r="D12" i="5"/>
  <c r="C12" i="5"/>
  <c r="B12" i="5"/>
  <c r="P11" i="5"/>
  <c r="P14" i="5" s="1"/>
  <c r="H11" i="5"/>
  <c r="O10" i="5"/>
  <c r="N10" i="5"/>
  <c r="M10" i="5"/>
  <c r="L10" i="5"/>
  <c r="K10" i="5"/>
  <c r="J10" i="5"/>
  <c r="G10" i="5"/>
  <c r="F10" i="5"/>
  <c r="E10" i="5"/>
  <c r="D10" i="5"/>
  <c r="C10" i="5"/>
  <c r="B10" i="5"/>
  <c r="O9" i="5"/>
  <c r="N9" i="5"/>
  <c r="M9" i="5"/>
  <c r="L9" i="5"/>
  <c r="K9" i="5"/>
  <c r="J9" i="5"/>
  <c r="H9" i="5"/>
  <c r="G9" i="5"/>
  <c r="F9" i="5"/>
  <c r="E9" i="5"/>
  <c r="D9" i="5"/>
  <c r="C9" i="5"/>
  <c r="B9" i="5"/>
  <c r="O8" i="5"/>
  <c r="N8" i="5"/>
  <c r="M8" i="5"/>
  <c r="M14" i="5" s="1"/>
  <c r="L8" i="5"/>
  <c r="K8" i="5"/>
  <c r="J8" i="5"/>
  <c r="G8" i="5"/>
  <c r="F8" i="5"/>
  <c r="E8" i="5"/>
  <c r="D8" i="5"/>
  <c r="C8" i="5"/>
  <c r="C14" i="5" s="1"/>
  <c r="B8" i="5"/>
  <c r="K6" i="5"/>
  <c r="D6" i="5"/>
  <c r="G3" i="5"/>
  <c r="P24" i="4"/>
  <c r="H24" i="4"/>
  <c r="O23" i="4"/>
  <c r="N23" i="4"/>
  <c r="M23" i="4"/>
  <c r="L23" i="4"/>
  <c r="K23" i="4"/>
  <c r="J23" i="4"/>
  <c r="G23" i="4"/>
  <c r="F23" i="4"/>
  <c r="E23" i="4"/>
  <c r="D23" i="4"/>
  <c r="C23" i="4"/>
  <c r="B23" i="4"/>
  <c r="P22" i="4"/>
  <c r="P25" i="4" s="1"/>
  <c r="H22" i="4"/>
  <c r="O21" i="4"/>
  <c r="N21" i="4"/>
  <c r="M21" i="4"/>
  <c r="L21" i="4"/>
  <c r="K21" i="4"/>
  <c r="J21" i="4"/>
  <c r="G21" i="4"/>
  <c r="F21" i="4"/>
  <c r="E21" i="4"/>
  <c r="D21" i="4"/>
  <c r="C21" i="4"/>
  <c r="B21" i="4"/>
  <c r="O20" i="4"/>
  <c r="N20" i="4"/>
  <c r="M20" i="4"/>
  <c r="L20" i="4"/>
  <c r="K20" i="4"/>
  <c r="J20" i="4"/>
  <c r="H20" i="4"/>
  <c r="G20" i="4"/>
  <c r="F20" i="4"/>
  <c r="E20" i="4"/>
  <c r="D20" i="4"/>
  <c r="C20" i="4"/>
  <c r="B20" i="4"/>
  <c r="O19" i="4"/>
  <c r="N19" i="4"/>
  <c r="M19" i="4"/>
  <c r="M25" i="4" s="1"/>
  <c r="L19" i="4"/>
  <c r="K19" i="4"/>
  <c r="J19" i="4"/>
  <c r="G19" i="4"/>
  <c r="F19" i="4"/>
  <c r="E19" i="4"/>
  <c r="D19" i="4"/>
  <c r="C19" i="4"/>
  <c r="C25" i="4" s="1"/>
  <c r="B19" i="4"/>
  <c r="L17" i="4"/>
  <c r="K17" i="4"/>
  <c r="D17" i="4"/>
  <c r="P13" i="4"/>
  <c r="M13" i="4"/>
  <c r="K13" i="4"/>
  <c r="J13" i="4"/>
  <c r="H13" i="4"/>
  <c r="B13" i="4"/>
  <c r="O12" i="4"/>
  <c r="N12" i="4"/>
  <c r="M12" i="4"/>
  <c r="L12" i="4"/>
  <c r="K12" i="4"/>
  <c r="J12" i="4"/>
  <c r="G12" i="4"/>
  <c r="F12" i="4"/>
  <c r="E12" i="4"/>
  <c r="D12" i="4"/>
  <c r="C12" i="4"/>
  <c r="B12" i="4"/>
  <c r="P11" i="4"/>
  <c r="P14" i="4" s="1"/>
  <c r="H11" i="4"/>
  <c r="O10" i="4"/>
  <c r="N10" i="4"/>
  <c r="M10" i="4"/>
  <c r="L10" i="4"/>
  <c r="K10" i="4"/>
  <c r="J10" i="4"/>
  <c r="G10" i="4"/>
  <c r="F10" i="4"/>
  <c r="E10" i="4"/>
  <c r="D10" i="4"/>
  <c r="C10" i="4"/>
  <c r="B10" i="4"/>
  <c r="O9" i="4"/>
  <c r="N9" i="4"/>
  <c r="M9" i="4"/>
  <c r="L9" i="4"/>
  <c r="K9" i="4"/>
  <c r="J9" i="4"/>
  <c r="H9" i="4"/>
  <c r="H14" i="4" s="1"/>
  <c r="G9" i="4"/>
  <c r="F9" i="4"/>
  <c r="E9" i="4"/>
  <c r="D9" i="4"/>
  <c r="C9" i="4"/>
  <c r="B9" i="4"/>
  <c r="O8" i="4"/>
  <c r="O14" i="4" s="1"/>
  <c r="N8" i="4"/>
  <c r="N14" i="4" s="1"/>
  <c r="M8" i="4"/>
  <c r="L8" i="4"/>
  <c r="K8" i="4"/>
  <c r="J8" i="4"/>
  <c r="J14" i="4" s="1"/>
  <c r="G8" i="4"/>
  <c r="F8" i="4"/>
  <c r="E8" i="4"/>
  <c r="D8" i="4"/>
  <c r="C8" i="4"/>
  <c r="B8" i="4"/>
  <c r="K6" i="4"/>
  <c r="D6" i="4"/>
  <c r="G3" i="4"/>
  <c r="N24" i="3"/>
  <c r="G24" i="3"/>
  <c r="D24" i="3"/>
  <c r="J23" i="3"/>
  <c r="I23" i="3"/>
  <c r="B23" i="3"/>
  <c r="N22" i="3"/>
  <c r="N25" i="3" s="1"/>
  <c r="M22" i="3"/>
  <c r="L22" i="3"/>
  <c r="G22" i="3"/>
  <c r="G25" i="3" s="1"/>
  <c r="F22" i="3"/>
  <c r="E22" i="3"/>
  <c r="D22" i="3"/>
  <c r="C22" i="3"/>
  <c r="M21" i="3"/>
  <c r="L21" i="3"/>
  <c r="K21" i="3"/>
  <c r="J21" i="3"/>
  <c r="I21" i="3"/>
  <c r="F21" i="3"/>
  <c r="E21" i="3"/>
  <c r="E25" i="3" s="1"/>
  <c r="D21" i="3"/>
  <c r="C21" i="3"/>
  <c r="B21" i="3"/>
  <c r="M20" i="3"/>
  <c r="L20" i="3"/>
  <c r="K20" i="3"/>
  <c r="J20" i="3"/>
  <c r="I20" i="3"/>
  <c r="F20" i="3"/>
  <c r="E20" i="3"/>
  <c r="D20" i="3"/>
  <c r="C20" i="3"/>
  <c r="B20" i="3"/>
  <c r="M19" i="3"/>
  <c r="L19" i="3"/>
  <c r="K19" i="3"/>
  <c r="K25" i="3" s="1"/>
  <c r="J19" i="3"/>
  <c r="J25" i="3" s="1"/>
  <c r="I19" i="3"/>
  <c r="F19" i="3"/>
  <c r="E19" i="3"/>
  <c r="D19" i="3"/>
  <c r="C19" i="3"/>
  <c r="B19" i="3"/>
  <c r="N14" i="3"/>
  <c r="N13" i="3"/>
  <c r="G13" i="3"/>
  <c r="F13" i="3"/>
  <c r="D13" i="3"/>
  <c r="C13" i="3"/>
  <c r="B13" i="3"/>
  <c r="I12" i="3"/>
  <c r="F12" i="3"/>
  <c r="F14" i="3" s="1"/>
  <c r="E12" i="3"/>
  <c r="B12" i="3"/>
  <c r="N11" i="3"/>
  <c r="M11" i="3"/>
  <c r="L11" i="3"/>
  <c r="K11" i="3"/>
  <c r="J11" i="3"/>
  <c r="G11" i="3"/>
  <c r="G14" i="3" s="1"/>
  <c r="D11" i="3"/>
  <c r="M10" i="3"/>
  <c r="L10" i="3"/>
  <c r="K10" i="3"/>
  <c r="J10" i="3"/>
  <c r="I10" i="3"/>
  <c r="F10" i="3"/>
  <c r="E10" i="3"/>
  <c r="E14" i="3" s="1"/>
  <c r="D10" i="3"/>
  <c r="C10" i="3"/>
  <c r="B10" i="3"/>
  <c r="M9" i="3"/>
  <c r="L9" i="3"/>
  <c r="K9" i="3"/>
  <c r="J9" i="3"/>
  <c r="I9" i="3"/>
  <c r="F9" i="3"/>
  <c r="E9" i="3"/>
  <c r="D9" i="3"/>
  <c r="C9" i="3"/>
  <c r="B9" i="3"/>
  <c r="M8" i="3"/>
  <c r="L8" i="3"/>
  <c r="L14" i="3" s="1"/>
  <c r="K8" i="3"/>
  <c r="K14" i="3" s="1"/>
  <c r="J8" i="3"/>
  <c r="I8" i="3"/>
  <c r="F8" i="3"/>
  <c r="E8" i="3"/>
  <c r="D8" i="3"/>
  <c r="C8" i="3"/>
  <c r="B8" i="3"/>
  <c r="F6" i="2"/>
  <c r="F16" i="2" s="1"/>
  <c r="F7" i="2"/>
  <c r="F8" i="2"/>
  <c r="F9" i="2"/>
  <c r="F10" i="2"/>
  <c r="F11" i="2"/>
  <c r="F12" i="2"/>
  <c r="F13" i="2"/>
  <c r="F14" i="2"/>
  <c r="D25" i="3" l="1"/>
  <c r="D14" i="4"/>
  <c r="G25" i="4"/>
  <c r="C25" i="5"/>
  <c r="F25" i="6"/>
  <c r="F25" i="8"/>
  <c r="M14" i="10"/>
  <c r="I25" i="10"/>
  <c r="J14" i="11"/>
  <c r="D14" i="12"/>
  <c r="G25" i="12"/>
  <c r="E14" i="4"/>
  <c r="J14" i="5"/>
  <c r="D25" i="5"/>
  <c r="H25" i="5"/>
  <c r="N14" i="6"/>
  <c r="M25" i="7"/>
  <c r="F14" i="9"/>
  <c r="B14" i="11"/>
  <c r="E25" i="11"/>
  <c r="I14" i="3"/>
  <c r="F25" i="3"/>
  <c r="K25" i="4"/>
  <c r="K14" i="5"/>
  <c r="E25" i="5"/>
  <c r="O25" i="5"/>
  <c r="E14" i="6"/>
  <c r="J25" i="6"/>
  <c r="P25" i="6"/>
  <c r="J14" i="7"/>
  <c r="J25" i="7"/>
  <c r="C14" i="8"/>
  <c r="M14" i="8"/>
  <c r="H14" i="8"/>
  <c r="J25" i="8"/>
  <c r="G14" i="9"/>
  <c r="F25" i="9"/>
  <c r="K25" i="10"/>
  <c r="C14" i="11"/>
  <c r="M14" i="11"/>
  <c r="F25" i="11"/>
  <c r="F14" i="12"/>
  <c r="K14" i="12"/>
  <c r="E14" i="12"/>
  <c r="K25" i="12"/>
  <c r="C14" i="6"/>
  <c r="D25" i="11"/>
  <c r="J25" i="4"/>
  <c r="G14" i="5"/>
  <c r="N25" i="5"/>
  <c r="D14" i="6"/>
  <c r="G25" i="6"/>
  <c r="D25" i="7"/>
  <c r="G25" i="8"/>
  <c r="E25" i="9"/>
  <c r="E14" i="10"/>
  <c r="J25" i="10"/>
  <c r="L14" i="11"/>
  <c r="O25" i="11"/>
  <c r="O14" i="12"/>
  <c r="J25" i="12"/>
  <c r="J14" i="3"/>
  <c r="I25" i="3"/>
  <c r="G14" i="4"/>
  <c r="F14" i="4"/>
  <c r="B25" i="4"/>
  <c r="L25" i="4"/>
  <c r="B14" i="5"/>
  <c r="L14" i="5"/>
  <c r="F25" i="5"/>
  <c r="K25" i="6"/>
  <c r="F14" i="7"/>
  <c r="F25" i="7"/>
  <c r="H25" i="7"/>
  <c r="H14" i="9"/>
  <c r="G25" i="9"/>
  <c r="H25" i="9"/>
  <c r="G14" i="10"/>
  <c r="B25" i="10"/>
  <c r="L25" i="10"/>
  <c r="D14" i="11"/>
  <c r="N14" i="11"/>
  <c r="G25" i="11"/>
  <c r="B25" i="12"/>
  <c r="L25" i="12"/>
  <c r="N25" i="4"/>
  <c r="D14" i="5"/>
  <c r="J25" i="5"/>
  <c r="M25" i="6"/>
  <c r="C14" i="7"/>
  <c r="M25" i="8"/>
  <c r="B14" i="9"/>
  <c r="K25" i="9"/>
  <c r="J14" i="10"/>
  <c r="G25" i="10"/>
  <c r="K25" i="11"/>
  <c r="N25" i="12"/>
  <c r="M14" i="3"/>
  <c r="L25" i="3"/>
  <c r="B14" i="4"/>
  <c r="E25" i="4"/>
  <c r="O25" i="4"/>
  <c r="H25" i="4"/>
  <c r="O14" i="5"/>
  <c r="K25" i="5"/>
  <c r="K14" i="6"/>
  <c r="D25" i="6"/>
  <c r="N25" i="6"/>
  <c r="H25" i="6"/>
  <c r="D14" i="7"/>
  <c r="N14" i="7"/>
  <c r="H14" i="7"/>
  <c r="N25" i="7"/>
  <c r="G14" i="8"/>
  <c r="D25" i="8"/>
  <c r="N25" i="8"/>
  <c r="C14" i="9"/>
  <c r="M14" i="9"/>
  <c r="B25" i="9"/>
  <c r="L25" i="9"/>
  <c r="O25" i="9"/>
  <c r="B14" i="10"/>
  <c r="K14" i="10"/>
  <c r="E25" i="10"/>
  <c r="N25" i="10"/>
  <c r="G14" i="11"/>
  <c r="F14" i="11"/>
  <c r="H14" i="11"/>
  <c r="B25" i="11"/>
  <c r="L25" i="11"/>
  <c r="B14" i="12"/>
  <c r="L14" i="12"/>
  <c r="E25" i="12"/>
  <c r="O25" i="12"/>
  <c r="K14" i="4"/>
  <c r="D25" i="4"/>
  <c r="J14" i="6"/>
  <c r="C25" i="6"/>
  <c r="M14" i="7"/>
  <c r="C25" i="7"/>
  <c r="C25" i="8"/>
  <c r="F14" i="10"/>
  <c r="D25" i="12"/>
  <c r="H25" i="12"/>
  <c r="C14" i="3"/>
  <c r="B25" i="3"/>
  <c r="L14" i="4"/>
  <c r="D14" i="3"/>
  <c r="B14" i="3"/>
  <c r="C25" i="3"/>
  <c r="M25" i="3"/>
  <c r="C14" i="4"/>
  <c r="M14" i="4"/>
  <c r="F25" i="4"/>
  <c r="F14" i="5"/>
  <c r="E14" i="5"/>
  <c r="H14" i="5"/>
  <c r="B25" i="5"/>
  <c r="L25" i="5"/>
  <c r="L14" i="6"/>
  <c r="E25" i="6"/>
  <c r="O25" i="6"/>
  <c r="O14" i="7"/>
  <c r="O25" i="7"/>
  <c r="K14" i="8"/>
  <c r="O25" i="8"/>
  <c r="D14" i="9"/>
  <c r="N14" i="9"/>
  <c r="C25" i="9"/>
  <c r="M25" i="9"/>
  <c r="C14" i="10"/>
  <c r="L14" i="10"/>
  <c r="I14" i="10"/>
  <c r="F25" i="10"/>
  <c r="P14" i="11"/>
  <c r="C25" i="11"/>
  <c r="M25" i="11"/>
  <c r="C14" i="12"/>
  <c r="M14" i="12"/>
  <c r="F25" i="12"/>
  <c r="C12" i="1"/>
  <c r="D12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5" i="1"/>
  <c r="D15" i="1" s="1"/>
  <c r="C3" i="1"/>
  <c r="D3" i="1" s="1"/>
</calcChain>
</file>

<file path=xl/sharedStrings.xml><?xml version="1.0" encoding="utf-8"?>
<sst xmlns="http://schemas.openxmlformats.org/spreadsheetml/2006/main" count="1150" uniqueCount="190">
  <si>
    <t>Customer Count</t>
  </si>
  <si>
    <t>Year</t>
  </si>
  <si>
    <t>Change in Count</t>
  </si>
  <si>
    <t>% Change</t>
  </si>
  <si>
    <t>Avg</t>
  </si>
  <si>
    <t>eia.gov/dnav/ng/ng_cons_sum_dcu_SFL_a.htm</t>
  </si>
  <si>
    <t>Chesapeake Utilities Corporation</t>
  </si>
  <si>
    <t xml:space="preserve">Customers Data - Regulated </t>
  </si>
  <si>
    <t>For the Twelve Months ended December 31, 2012 and 2011</t>
  </si>
  <si>
    <t>Actual customers for the Month of December 2012</t>
  </si>
  <si>
    <t>Actual customers for the Month of December 2011</t>
  </si>
  <si>
    <t>Delaware Division</t>
  </si>
  <si>
    <t>Maryland Division</t>
  </si>
  <si>
    <t>Chesapeake Florida NG Division</t>
  </si>
  <si>
    <t>FPU-NG  Distribution</t>
  </si>
  <si>
    <t>FPU-Electric  Distribution</t>
  </si>
  <si>
    <t>Eastern Shore Natural Gas</t>
  </si>
  <si>
    <t>Residential</t>
  </si>
  <si>
    <t>Commercial</t>
  </si>
  <si>
    <t xml:space="preserve">Industrial </t>
  </si>
  <si>
    <t>Transportation</t>
  </si>
  <si>
    <t>Other</t>
  </si>
  <si>
    <t>Less: ESNG to DE and MD</t>
  </si>
  <si>
    <t>Total actual customers</t>
  </si>
  <si>
    <t>Average customers for the Twelve Months ended December 31, 2012</t>
  </si>
  <si>
    <t>Average customers for the Twelve Months ended December 31, 2011</t>
  </si>
  <si>
    <t>Industrial</t>
  </si>
  <si>
    <t>Total average customers</t>
  </si>
  <si>
    <t>Sandpiper Energy, Inc.</t>
  </si>
  <si>
    <t xml:space="preserve">                                                                 </t>
  </si>
  <si>
    <t>For the Twelve Months ended December 31, 2013 and 2012</t>
  </si>
  <si>
    <t>Actual customers for the Month of December 2013</t>
  </si>
  <si>
    <t>Average customers for the Twelve Months ended December 31, 2013</t>
  </si>
  <si>
    <t>For the Twelve Months ended December 31, 2011 and 2010</t>
  </si>
  <si>
    <t>Actual customers for the Month of December 2010</t>
  </si>
  <si>
    <t>Average customers for the Twelve Months ended December 31, 2010</t>
  </si>
  <si>
    <t>Workbook Contents</t>
  </si>
  <si>
    <t xml:space="preserve">Natural Gas Consumption </t>
  </si>
  <si>
    <t>Click worksheet name or tab at bottom for data</t>
  </si>
  <si>
    <t>Worksheet Name</t>
  </si>
  <si>
    <t>Description</t>
  </si>
  <si>
    <t># Of Series</t>
  </si>
  <si>
    <t>Frequency</t>
  </si>
  <si>
    <t>Latest Data for</t>
  </si>
  <si>
    <t>Data 1</t>
  </si>
  <si>
    <t>Annual</t>
  </si>
  <si>
    <t>6/30/1949</t>
  </si>
  <si>
    <t>Release Date:</t>
  </si>
  <si>
    <t>3/31/2022</t>
  </si>
  <si>
    <t>Next Release Date:</t>
  </si>
  <si>
    <t>4/29/2022</t>
  </si>
  <si>
    <t>Excel File Name:</t>
  </si>
  <si>
    <t>ng_cons_sum_a_epg0_vc0_mmcf_a.xls</t>
  </si>
  <si>
    <t>Available from Web Page:</t>
  </si>
  <si>
    <t>http://www.eia.gov/dnav/ng/ng_cons_sum_a_epg0_vc0_mmcf_a.htm</t>
  </si>
  <si>
    <t>Source:</t>
  </si>
  <si>
    <t>Energy Information Administration</t>
  </si>
  <si>
    <t>For Help, Contact:</t>
  </si>
  <si>
    <t>infoctr@eia.gov</t>
  </si>
  <si>
    <t>(202) 586-8800</t>
  </si>
  <si>
    <t>3/29/2022 2:34:52 PM</t>
  </si>
  <si>
    <t>Back to Contents</t>
  </si>
  <si>
    <t xml:space="preserve">Data 1: Natural Gas Consumption </t>
  </si>
  <si>
    <t>Sourcekey</t>
  </si>
  <si>
    <t>N9140US2</t>
  </si>
  <si>
    <t>NA1490_SAL_2</t>
  </si>
  <si>
    <t>NA1490_SAK_2</t>
  </si>
  <si>
    <t>NA1490_SAZ_2</t>
  </si>
  <si>
    <t>NA1490_SAR_2</t>
  </si>
  <si>
    <t>NA1490_SCA_2</t>
  </si>
  <si>
    <t>NA1490_SCO_2</t>
  </si>
  <si>
    <t>NA1490_SCT_2</t>
  </si>
  <si>
    <t>NA1490_SDE_2</t>
  </si>
  <si>
    <t>NA1490_SDC_2</t>
  </si>
  <si>
    <t>NA1490_SFL_2</t>
  </si>
  <si>
    <t>NA1490_SGA_2</t>
  </si>
  <si>
    <t>NA1490_R3FM_2</t>
  </si>
  <si>
    <t>NA1490_SHI_2</t>
  </si>
  <si>
    <t>NA1490_SID_2</t>
  </si>
  <si>
    <t>NA1490_SIL_2</t>
  </si>
  <si>
    <t>NA1490_SIN_2</t>
  </si>
  <si>
    <t>NA1490_SIA_2</t>
  </si>
  <si>
    <t>NA1490_SKS_2</t>
  </si>
  <si>
    <t>NA1490_SKY_2</t>
  </si>
  <si>
    <t>NA1490_SLA_2</t>
  </si>
  <si>
    <t>NA1490_SME_2</t>
  </si>
  <si>
    <t>NA1490_SMD_2</t>
  </si>
  <si>
    <t>NA1490_SMA_2</t>
  </si>
  <si>
    <t>NA1490_SMI_2</t>
  </si>
  <si>
    <t>NA1490_SMN_2</t>
  </si>
  <si>
    <t>NA1490_SMS_2</t>
  </si>
  <si>
    <t>NA1490_SMO_2</t>
  </si>
  <si>
    <t>NA1490_SMT_2</t>
  </si>
  <si>
    <t>NA1490_SNE_2</t>
  </si>
  <si>
    <t>NA1490_SNV_2</t>
  </si>
  <si>
    <t>NA1490_SNH_2</t>
  </si>
  <si>
    <t>NA1490_SNJ_2</t>
  </si>
  <si>
    <t>NA1490_SNM_2</t>
  </si>
  <si>
    <t>NA1490_SNY_2</t>
  </si>
  <si>
    <t>NA1490_SNC_2</t>
  </si>
  <si>
    <t>NA1490_SND_2</t>
  </si>
  <si>
    <t>NA1490_SOH_2</t>
  </si>
  <si>
    <t>NA1490_SOK_2</t>
  </si>
  <si>
    <t>NA1490_SOR_2</t>
  </si>
  <si>
    <t>NA1490_SPA_2</t>
  </si>
  <si>
    <t>NA1490_SRI_2</t>
  </si>
  <si>
    <t>NA1490_SSC_2</t>
  </si>
  <si>
    <t>NA1490_SSD_2</t>
  </si>
  <si>
    <t>NA1490_STN_2</t>
  </si>
  <si>
    <t>NA1490_STX_2</t>
  </si>
  <si>
    <t>NA1490_SUT_2</t>
  </si>
  <si>
    <t>NA1490_SVT_2</t>
  </si>
  <si>
    <t>NA1490_SVA_2</t>
  </si>
  <si>
    <t>NA1490_SWA_2</t>
  </si>
  <si>
    <t>NA1490_SWV_2</t>
  </si>
  <si>
    <t>NA1490_SWI_2</t>
  </si>
  <si>
    <t>NA1490_SWY_2</t>
  </si>
  <si>
    <t>Date</t>
  </si>
  <si>
    <t>U.S. Natural Gas Total Consumption (MMcf)</t>
  </si>
  <si>
    <t>Alabama Natural Gas Total Consumption (MMcf)</t>
  </si>
  <si>
    <t>Alaska Natural Gas Total Consumption (MMcf)</t>
  </si>
  <si>
    <t>Arizona Natural Gas Total Consumption (MMcf)</t>
  </si>
  <si>
    <t>Arkansas Natural Gas Total Consumption (MMcf)</t>
  </si>
  <si>
    <t>California Natural Gas Total Consumption (MMcf)</t>
  </si>
  <si>
    <t>Colorado Natural Gas Total Consumption (MMcf)</t>
  </si>
  <si>
    <t>Connecticut Natural Gas Total Consumption (MMcf)</t>
  </si>
  <si>
    <t>Delaware Natural Gas Total Consumption (MMcf)</t>
  </si>
  <si>
    <t>District of Columbia Natural Gas Total Consumption (MMcf)</t>
  </si>
  <si>
    <t>Florida Natural Gas Total Consumption (MMcf)</t>
  </si>
  <si>
    <t>Georgia Natural Gas Total Consumption (MMcf)</t>
  </si>
  <si>
    <t>Federal Offshore -- Gulf of Mexico Natural Gas Total Consumption (MMcf)</t>
  </si>
  <si>
    <t>Hawaii Natural Gas Total Consumption (MMcf)</t>
  </si>
  <si>
    <t>Idaho Natural Gas Total Consumption (MMcf)</t>
  </si>
  <si>
    <t>Illinois Natural Gas Total Consumption (MMcf)</t>
  </si>
  <si>
    <t>Indiana Natural Gas Total Consumption (MMcf)</t>
  </si>
  <si>
    <t>Iowa Natural Gas Total Consumption (MMcf)</t>
  </si>
  <si>
    <t>Kansas Natural Gas Total Consumption (MMcf)</t>
  </si>
  <si>
    <t>Kentucky Natural Gas Total Consumption (MMcf)</t>
  </si>
  <si>
    <t>Louisiana Natural Gas Total Consumption (MMcf)</t>
  </si>
  <si>
    <t>Maine Natural Gas Total Consumption (MMcf)</t>
  </si>
  <si>
    <t>Maryland Natural Gas Total Consumption (MMcf)</t>
  </si>
  <si>
    <t>Massachusetts Natural Gas Total Consumption (MMcf)</t>
  </si>
  <si>
    <t>Michigan Natural Gas Total Consumption (MMcf)</t>
  </si>
  <si>
    <t>Minnesota Natural Gas Total Consumption (MMcf)</t>
  </si>
  <si>
    <t>Mississippi Natural Gas Total Consumption (MMcf)</t>
  </si>
  <si>
    <t>Missouri Natural Gas Total Consumption (MMcf)</t>
  </si>
  <si>
    <t>Montana Natural Gas Total Consumption (MMcf)</t>
  </si>
  <si>
    <t>Nebraska Natural Gas Total Consumption (MMcf)</t>
  </si>
  <si>
    <t>Nevada Natural Gas Total Consumption (MMcf)</t>
  </si>
  <si>
    <t>New Hampshire Natural Gas Total Consumption (MMcf)</t>
  </si>
  <si>
    <t>New Jersey Natural Gas Total Consumption (MMcf)</t>
  </si>
  <si>
    <t>New Mexico Natural Gas Total Consumption (MMcf)</t>
  </si>
  <si>
    <t>New York Natural Gas Total Consumption (MMcf)</t>
  </si>
  <si>
    <t>North Carolina Natural Gas Total Consumption (MMcf)</t>
  </si>
  <si>
    <t>North Dakota Natural Gas Total Consumption (MMcf)</t>
  </si>
  <si>
    <t>Ohio Natural Gas Total Consumption (MMcf)</t>
  </si>
  <si>
    <t>Oklahoma Natural Gas Total Consumption (MMcf)</t>
  </si>
  <si>
    <t>Oregon Natural Gas Total Consumption (MMcf)</t>
  </si>
  <si>
    <t>Pennsylvania Natural Gas Total Consumption (MMcf)</t>
  </si>
  <si>
    <t>Rhode Island Natural Gas Total Consumption (MMcf)</t>
  </si>
  <si>
    <t>South Carolina Natural Gas Total Consumption (MMcf)</t>
  </si>
  <si>
    <t>South Dakota Natural Gas Total Consumption (MMcf)</t>
  </si>
  <si>
    <t>Tennessee Natural Gas Total Consumption (MMcf)</t>
  </si>
  <si>
    <t>Texas Natural Gas Total Consumption (MMcf)</t>
  </si>
  <si>
    <t>Utah Natural Gas Total Consumption (MMcf)</t>
  </si>
  <si>
    <t>Vermont Natural Gas Total Consumption (MMcf)</t>
  </si>
  <si>
    <t>Virginia Natural Gas Total Consumption (MMcf)</t>
  </si>
  <si>
    <t>Washington Natural Gas Total Consumption (MMcf)</t>
  </si>
  <si>
    <t>West Virginia Natural Gas Total Consumption (MMcf)</t>
  </si>
  <si>
    <t>Wisconsin Natural Gas Total Consumption (MMcf)</t>
  </si>
  <si>
    <t>Wyoming Natural Gas Total Consumption (MMcf)</t>
  </si>
  <si>
    <t>Florida Gas Consumption</t>
  </si>
  <si>
    <t>US Gas Consumption</t>
  </si>
  <si>
    <t>Change (%)</t>
  </si>
  <si>
    <t>2010 - 2020</t>
  </si>
  <si>
    <t>Average</t>
  </si>
  <si>
    <t>FPUC Gas Consumption</t>
  </si>
  <si>
    <t xml:space="preserve">Volume Data - Regulated </t>
  </si>
  <si>
    <t>In Mcfs and MWHs</t>
  </si>
  <si>
    <t>Transportation - Firm</t>
  </si>
  <si>
    <t xml:space="preserve">Total Deliveries </t>
  </si>
  <si>
    <t>Volume for the Month of December 2012</t>
  </si>
  <si>
    <t>Volume for the Month of December 2011</t>
  </si>
  <si>
    <t>Volume for the Twelve Months ended December 31, 2012</t>
  </si>
  <si>
    <t>Volume for the Twelve Months ended December 31, 2011</t>
  </si>
  <si>
    <t>Volume for the Month of December 2010</t>
  </si>
  <si>
    <t>Volume for the Twelve Months ended December 31, 2010</t>
  </si>
  <si>
    <t>Volume for the Month of December 2013</t>
  </si>
  <si>
    <t>Volume for the Twelve Months ended December 31, 2013</t>
  </si>
  <si>
    <t>Total Consumption (MMcf)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</si>
</sst>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#,##0;\(#,###,##0\)"/>
    <numFmt numFmtId="165" formatCode="_(* #,##0_);_(* \(#,##0\);_(* &quot;-&quot;??_);_(@_)"/>
    <numFmt numFmtId="166" formatCode="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 Black"/>
      <family val="2"/>
    </font>
    <font>
      <b/>
      <sz val="11"/>
      <color rgb="FF00B0F0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indexed="18"/>
      <name val="Arial"/>
      <family val="2"/>
    </font>
    <font>
      <b/>
      <i/>
      <sz val="12"/>
      <color indexed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b/>
      <sz val="12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color theme="1"/>
      <name val="Times New Roman"/>
      <family val="1"/>
    </font>
    <font>
      <sz val="10"/>
      <color rgb="FF00B0F0"/>
      <name val="Arial Black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/>
    <xf numFmtId="10" fontId="0" fillId="0" borderId="0" xfId="2" applyNumberFormat="1" applyFont="1"/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49" fontId="8" fillId="0" borderId="0" xfId="3" applyNumberFormat="1" applyFont="1" applyAlignment="1">
      <alignment horizontal="center"/>
    </xf>
    <xf numFmtId="0" fontId="6" fillId="0" borderId="0" xfId="0" applyFont="1" applyBorder="1"/>
    <xf numFmtId="49" fontId="9" fillId="0" borderId="0" xfId="3" applyNumberFormat="1" applyFont="1" applyAlignment="1">
      <alignment horizontal="center"/>
    </xf>
    <xf numFmtId="0" fontId="10" fillId="0" borderId="0" xfId="0" applyFont="1" applyBorder="1"/>
    <xf numFmtId="17" fontId="5" fillId="0" borderId="0" xfId="0" quotePrefix="1" applyNumberFormat="1" applyFont="1" applyBorder="1" applyAlignment="1">
      <alignment horizontal="left" indent="7"/>
    </xf>
    <xf numFmtId="0" fontId="10" fillId="0" borderId="0" xfId="0" applyFont="1"/>
    <xf numFmtId="17" fontId="10" fillId="0" borderId="0" xfId="0" applyNumberFormat="1" applyFont="1" applyBorder="1" applyAlignment="1">
      <alignment horizontal="left" indent="7"/>
    </xf>
    <xf numFmtId="0" fontId="10" fillId="0" borderId="0" xfId="0" applyFont="1" applyFill="1" applyBorder="1"/>
    <xf numFmtId="165" fontId="5" fillId="0" borderId="1" xfId="1" applyNumberFormat="1" applyFont="1" applyBorder="1"/>
    <xf numFmtId="0" fontId="10" fillId="0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165" fontId="10" fillId="0" borderId="0" xfId="1" applyNumberFormat="1" applyFont="1"/>
    <xf numFmtId="165" fontId="10" fillId="0" borderId="0" xfId="1" applyNumberFormat="1" applyFont="1" applyBorder="1"/>
    <xf numFmtId="165" fontId="10" fillId="0" borderId="0" xfId="1" applyNumberFormat="1" applyFont="1" applyFill="1" applyBorder="1"/>
    <xf numFmtId="165" fontId="10" fillId="0" borderId="0" xfId="1" applyNumberFormat="1" applyFont="1" applyBorder="1" applyAlignment="1">
      <alignment horizontal="center"/>
    </xf>
    <xf numFmtId="0" fontId="10" fillId="0" borderId="2" xfId="0" applyFont="1" applyFill="1" applyBorder="1"/>
    <xf numFmtId="165" fontId="10" fillId="0" borderId="2" xfId="1" applyNumberFormat="1" applyFont="1" applyBorder="1"/>
    <xf numFmtId="165" fontId="10" fillId="0" borderId="1" xfId="1" applyNumberFormat="1" applyFont="1" applyBorder="1"/>
    <xf numFmtId="165" fontId="10" fillId="0" borderId="0" xfId="1" applyNumberFormat="1" applyFont="1" applyFill="1"/>
    <xf numFmtId="0" fontId="11" fillId="0" borderId="0" xfId="0" applyFont="1" applyBorder="1"/>
    <xf numFmtId="0" fontId="10" fillId="0" borderId="0" xfId="0" applyFont="1" applyFill="1"/>
    <xf numFmtId="0" fontId="6" fillId="0" borderId="0" xfId="0" applyNumberFormat="1" applyFont="1" applyFill="1"/>
    <xf numFmtId="0" fontId="8" fillId="0" borderId="0" xfId="3" applyNumberFormat="1" applyFont="1" applyAlignment="1">
      <alignment horizontal="center"/>
    </xf>
    <xf numFmtId="43" fontId="10" fillId="0" borderId="0" xfId="1" applyFont="1"/>
    <xf numFmtId="43" fontId="10" fillId="0" borderId="0" xfId="0" applyNumberFormat="1" applyFont="1"/>
    <xf numFmtId="0" fontId="12" fillId="0" borderId="0" xfId="4" applyFont="1" applyAlignment="1">
      <alignment horizontal="left"/>
    </xf>
    <xf numFmtId="0" fontId="3" fillId="0" borderId="0" xfId="4"/>
    <xf numFmtId="0" fontId="13" fillId="0" borderId="0" xfId="4" applyFont="1" applyAlignment="1">
      <alignment horizontal="left"/>
    </xf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0" xfId="4" quotePrefix="1" applyFont="1" applyAlignment="1">
      <alignment horizontal="left"/>
    </xf>
    <xf numFmtId="0" fontId="14" fillId="2" borderId="0" xfId="4" quotePrefix="1" applyFont="1" applyFill="1" applyAlignment="1">
      <alignment horizontal="left"/>
    </xf>
    <xf numFmtId="0" fontId="14" fillId="2" borderId="0" xfId="4" applyFont="1" applyFill="1"/>
    <xf numFmtId="0" fontId="14" fillId="2" borderId="0" xfId="4" applyFont="1" applyFill="1" applyAlignment="1">
      <alignment horizontal="center"/>
    </xf>
    <xf numFmtId="0" fontId="16" fillId="3" borderId="0" xfId="5" quotePrefix="1" applyFont="1" applyFill="1" applyAlignment="1" applyProtection="1">
      <alignment horizontal="left"/>
    </xf>
    <xf numFmtId="0" fontId="3" fillId="3" borderId="0" xfId="4" applyFont="1" applyFill="1" applyAlignment="1">
      <alignment horizontal="left"/>
    </xf>
    <xf numFmtId="0" fontId="3" fillId="3" borderId="0" xfId="4" applyFont="1" applyFill="1" applyAlignment="1">
      <alignment horizontal="center"/>
    </xf>
    <xf numFmtId="0" fontId="17" fillId="0" borderId="0" xfId="4" applyFont="1"/>
    <xf numFmtId="0" fontId="18" fillId="0" borderId="0" xfId="4" applyFont="1"/>
    <xf numFmtId="0" fontId="15" fillId="0" borderId="0" xfId="4" applyFont="1"/>
    <xf numFmtId="0" fontId="15" fillId="0" borderId="0" xfId="5" quotePrefix="1" applyAlignment="1" applyProtection="1">
      <alignment horizontal="left"/>
    </xf>
    <xf numFmtId="0" fontId="19" fillId="0" borderId="0" xfId="4" applyFont="1"/>
    <xf numFmtId="0" fontId="20" fillId="0" borderId="0" xfId="4" applyFont="1" applyAlignment="1">
      <alignment horizontal="center" wrapText="1"/>
    </xf>
    <xf numFmtId="0" fontId="21" fillId="0" borderId="0" xfId="4" applyFont="1" applyAlignment="1">
      <alignment wrapText="1"/>
    </xf>
    <xf numFmtId="0" fontId="22" fillId="0" borderId="0" xfId="4" applyFont="1" applyAlignment="1">
      <alignment horizontal="center" wrapText="1"/>
    </xf>
    <xf numFmtId="0" fontId="22" fillId="0" borderId="0" xfId="4" applyFont="1" applyAlignment="1">
      <alignment wrapText="1"/>
    </xf>
    <xf numFmtId="166" fontId="3" fillId="0" borderId="0" xfId="4" applyNumberFormat="1"/>
    <xf numFmtId="166" fontId="3" fillId="4" borderId="0" xfId="4" applyNumberFormat="1" applyFill="1"/>
    <xf numFmtId="0" fontId="3" fillId="4" borderId="0" xfId="4" applyFill="1"/>
    <xf numFmtId="0" fontId="4" fillId="0" borderId="0" xfId="0" applyFont="1" applyAlignment="1"/>
    <xf numFmtId="0" fontId="22" fillId="0" borderId="0" xfId="0" applyFont="1"/>
    <xf numFmtId="0" fontId="22" fillId="0" borderId="0" xfId="4" applyFont="1" applyFill="1"/>
    <xf numFmtId="10" fontId="2" fillId="0" borderId="0" xfId="2" applyNumberFormat="1" applyFont="1"/>
    <xf numFmtId="0" fontId="0" fillId="0" borderId="0" xfId="0" applyFill="1"/>
    <xf numFmtId="0" fontId="0" fillId="0" borderId="0" xfId="0" applyBorder="1"/>
    <xf numFmtId="49" fontId="24" fillId="0" borderId="0" xfId="3" applyNumberFormat="1" applyFont="1" applyAlignment="1">
      <alignment horizontal="center"/>
    </xf>
    <xf numFmtId="49" fontId="8" fillId="0" borderId="0" xfId="3" applyNumberFormat="1" applyFont="1" applyFill="1" applyAlignment="1">
      <alignment horizontal="center"/>
    </xf>
    <xf numFmtId="17" fontId="5" fillId="0" borderId="1" xfId="0" quotePrefix="1" applyNumberFormat="1" applyFont="1" applyBorder="1" applyAlignment="1">
      <alignment horizontal="left" indent="7"/>
    </xf>
    <xf numFmtId="0" fontId="5" fillId="0" borderId="1" xfId="0" applyFont="1" applyBorder="1"/>
    <xf numFmtId="0" fontId="11" fillId="0" borderId="3" xfId="0" applyFont="1" applyBorder="1"/>
    <xf numFmtId="0" fontId="5" fillId="0" borderId="0" xfId="0" applyFont="1" applyBorder="1" applyAlignment="1">
      <alignment horizontal="right"/>
    </xf>
    <xf numFmtId="0" fontId="10" fillId="0" borderId="2" xfId="0" applyFont="1" applyBorder="1"/>
    <xf numFmtId="165" fontId="5" fillId="0" borderId="0" xfId="1" applyNumberFormat="1" applyFont="1" applyBorder="1"/>
    <xf numFmtId="0" fontId="0" fillId="0" borderId="1" xfId="0" applyBorder="1"/>
    <xf numFmtId="0" fontId="5" fillId="0" borderId="0" xfId="0" applyFont="1" applyBorder="1"/>
    <xf numFmtId="165" fontId="10" fillId="4" borderId="2" xfId="1" applyNumberFormat="1" applyFont="1" applyFill="1" applyBorder="1"/>
    <xf numFmtId="0" fontId="25" fillId="0" borderId="0" xfId="0" applyFont="1"/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1" applyNumberFormat="1" applyFont="1" applyBorder="1"/>
    <xf numFmtId="0" fontId="26" fillId="0" borderId="0" xfId="0" applyFont="1"/>
    <xf numFmtId="165" fontId="10" fillId="0" borderId="2" xfId="1" applyNumberFormat="1" applyFont="1" applyFill="1" applyBorder="1"/>
    <xf numFmtId="165" fontId="3" fillId="0" borderId="0" xfId="1" applyNumberFormat="1" applyFont="1" applyFill="1"/>
    <xf numFmtId="165" fontId="3" fillId="0" borderId="0" xfId="1" applyNumberFormat="1" applyFont="1"/>
    <xf numFmtId="0" fontId="15" fillId="0" borderId="0" xfId="5" applyAlignment="1" applyProtection="1"/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6">
    <cellStyle name="Comma" xfId="1" builtinId="3"/>
    <cellStyle name="FRxAmtStyle" xfId="3"/>
    <cellStyle name="Hyperlink" xfId="5" builtinId="8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26.xml" Id="rId26" /><Relationship Type="http://schemas.openxmlformats.org/officeDocument/2006/relationships/worksheet" Target="worksheets/sheet21.xml" Id="rId21" /><Relationship Type="http://schemas.openxmlformats.org/officeDocument/2006/relationships/externalLink" Target="externalLinks/externalLink16.xml" Id="rId42" /><Relationship Type="http://schemas.openxmlformats.org/officeDocument/2006/relationships/externalLink" Target="externalLinks/externalLink21.xml" Id="rId47" /><Relationship Type="http://schemas.openxmlformats.org/officeDocument/2006/relationships/externalLink" Target="externalLinks/externalLink37.xml" Id="rId63" /><Relationship Type="http://schemas.openxmlformats.org/officeDocument/2006/relationships/externalLink" Target="externalLinks/externalLink42.xml" Id="rId68" /><Relationship Type="http://schemas.openxmlformats.org/officeDocument/2006/relationships/externalLink" Target="externalLinks/externalLink58.xml" Id="rId84" /><Relationship Type="http://schemas.openxmlformats.org/officeDocument/2006/relationships/externalLink" Target="externalLinks/externalLink63.xml" Id="rId89" /><Relationship Type="http://schemas.openxmlformats.org/officeDocument/2006/relationships/worksheet" Target="worksheets/sheet7.xml" Id="rId7" /><Relationship Type="http://schemas.openxmlformats.org/officeDocument/2006/relationships/externalLink" Target="externalLinks/externalLink45.xml" Id="rId71" /><Relationship Type="http://schemas.openxmlformats.org/officeDocument/2006/relationships/externalLink" Target="externalLinks/externalLink66.xml" Id="rId92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externalLink" Target="externalLinks/externalLink3.xml" Id="rId29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externalLink" Target="externalLinks/externalLink6.xml" Id="rId32" /><Relationship Type="http://schemas.openxmlformats.org/officeDocument/2006/relationships/externalLink" Target="externalLinks/externalLink11.xml" Id="rId37" /><Relationship Type="http://schemas.openxmlformats.org/officeDocument/2006/relationships/externalLink" Target="externalLinks/externalLink14.xml" Id="rId40" /><Relationship Type="http://schemas.openxmlformats.org/officeDocument/2006/relationships/externalLink" Target="externalLinks/externalLink19.xml" Id="rId45" /><Relationship Type="http://schemas.openxmlformats.org/officeDocument/2006/relationships/externalLink" Target="externalLinks/externalLink27.xml" Id="rId53" /><Relationship Type="http://schemas.openxmlformats.org/officeDocument/2006/relationships/externalLink" Target="externalLinks/externalLink32.xml" Id="rId58" /><Relationship Type="http://schemas.openxmlformats.org/officeDocument/2006/relationships/externalLink" Target="externalLinks/externalLink40.xml" Id="rId66" /><Relationship Type="http://schemas.openxmlformats.org/officeDocument/2006/relationships/externalLink" Target="externalLinks/externalLink48.xml" Id="rId74" /><Relationship Type="http://schemas.openxmlformats.org/officeDocument/2006/relationships/externalLink" Target="externalLinks/externalLink53.xml" Id="rId79" /><Relationship Type="http://schemas.openxmlformats.org/officeDocument/2006/relationships/externalLink" Target="externalLinks/externalLink61.xml" Id="rId87" /><Relationship Type="http://schemas.openxmlformats.org/officeDocument/2006/relationships/sharedStrings" Target="sharedStrings.xml" Id="rId102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35.xml" Id="rId61" /><Relationship Type="http://schemas.openxmlformats.org/officeDocument/2006/relationships/externalLink" Target="externalLinks/externalLink56.xml" Id="rId82" /><Relationship Type="http://schemas.openxmlformats.org/officeDocument/2006/relationships/externalLink" Target="externalLinks/externalLink64.xml" Id="rId90" /><Relationship Type="http://schemas.openxmlformats.org/officeDocument/2006/relationships/externalLink" Target="externalLinks/externalLink69.xml" Id="rId95" /><Relationship Type="http://schemas.openxmlformats.org/officeDocument/2006/relationships/worksheet" Target="worksheets/sheet19.xml" Id="rId1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externalLink" Target="externalLinks/externalLink1.xml" Id="rId27" /><Relationship Type="http://schemas.openxmlformats.org/officeDocument/2006/relationships/externalLink" Target="externalLinks/externalLink4.xml" Id="rId30" /><Relationship Type="http://schemas.openxmlformats.org/officeDocument/2006/relationships/externalLink" Target="externalLinks/externalLink9.xml" Id="rId35" /><Relationship Type="http://schemas.openxmlformats.org/officeDocument/2006/relationships/externalLink" Target="externalLinks/externalLink17.xml" Id="rId43" /><Relationship Type="http://schemas.openxmlformats.org/officeDocument/2006/relationships/externalLink" Target="externalLinks/externalLink22.xml" Id="rId48" /><Relationship Type="http://schemas.openxmlformats.org/officeDocument/2006/relationships/externalLink" Target="externalLinks/externalLink30.xml" Id="rId56" /><Relationship Type="http://schemas.openxmlformats.org/officeDocument/2006/relationships/externalLink" Target="externalLinks/externalLink38.xml" Id="rId64" /><Relationship Type="http://schemas.openxmlformats.org/officeDocument/2006/relationships/externalLink" Target="externalLinks/externalLink43.xml" Id="rId69" /><Relationship Type="http://schemas.openxmlformats.org/officeDocument/2006/relationships/externalLink" Target="externalLinks/externalLink51.xml" Id="rId77" /><Relationship Type="http://schemas.openxmlformats.org/officeDocument/2006/relationships/theme" Target="theme/theme1.xml" Id="rId100" /><Relationship Type="http://schemas.openxmlformats.org/officeDocument/2006/relationships/worksheet" Target="worksheets/sheet8.xml" Id="rId8" /><Relationship Type="http://schemas.openxmlformats.org/officeDocument/2006/relationships/externalLink" Target="externalLinks/externalLink25.xml" Id="rId51" /><Relationship Type="http://schemas.openxmlformats.org/officeDocument/2006/relationships/externalLink" Target="externalLinks/externalLink46.xml" Id="rId72" /><Relationship Type="http://schemas.openxmlformats.org/officeDocument/2006/relationships/externalLink" Target="externalLinks/externalLink54.xml" Id="rId80" /><Relationship Type="http://schemas.openxmlformats.org/officeDocument/2006/relationships/externalLink" Target="externalLinks/externalLink59.xml" Id="rId85" /><Relationship Type="http://schemas.openxmlformats.org/officeDocument/2006/relationships/externalLink" Target="externalLinks/externalLink67.xml" Id="rId93" /><Relationship Type="http://schemas.openxmlformats.org/officeDocument/2006/relationships/externalLink" Target="externalLinks/externalLink72.xml" Id="rId98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externalLink" Target="externalLinks/externalLink7.xml" Id="rId33" /><Relationship Type="http://schemas.openxmlformats.org/officeDocument/2006/relationships/externalLink" Target="externalLinks/externalLink12.xml" Id="rId38" /><Relationship Type="http://schemas.openxmlformats.org/officeDocument/2006/relationships/externalLink" Target="externalLinks/externalLink20.xml" Id="rId46" /><Relationship Type="http://schemas.openxmlformats.org/officeDocument/2006/relationships/externalLink" Target="externalLinks/externalLink33.xml" Id="rId59" /><Relationship Type="http://schemas.openxmlformats.org/officeDocument/2006/relationships/externalLink" Target="externalLinks/externalLink41.xml" Id="rId67" /><Relationship Type="http://schemas.openxmlformats.org/officeDocument/2006/relationships/calcChain" Target="calcChain.xml" Id="rId103" /><Relationship Type="http://schemas.openxmlformats.org/officeDocument/2006/relationships/worksheet" Target="worksheets/sheet20.xml" Id="rId20" /><Relationship Type="http://schemas.openxmlformats.org/officeDocument/2006/relationships/externalLink" Target="externalLinks/externalLink15.xml" Id="rId41" /><Relationship Type="http://schemas.openxmlformats.org/officeDocument/2006/relationships/externalLink" Target="externalLinks/externalLink28.xml" Id="rId54" /><Relationship Type="http://schemas.openxmlformats.org/officeDocument/2006/relationships/externalLink" Target="externalLinks/externalLink36.xml" Id="rId62" /><Relationship Type="http://schemas.openxmlformats.org/officeDocument/2006/relationships/externalLink" Target="externalLinks/externalLink44.xml" Id="rId70" /><Relationship Type="http://schemas.openxmlformats.org/officeDocument/2006/relationships/externalLink" Target="externalLinks/externalLink49.xml" Id="rId75" /><Relationship Type="http://schemas.openxmlformats.org/officeDocument/2006/relationships/externalLink" Target="externalLinks/externalLink57.xml" Id="rId83" /><Relationship Type="http://schemas.openxmlformats.org/officeDocument/2006/relationships/externalLink" Target="externalLinks/externalLink62.xml" Id="rId88" /><Relationship Type="http://schemas.openxmlformats.org/officeDocument/2006/relationships/externalLink" Target="externalLinks/externalLink65.xml" Id="rId91" /><Relationship Type="http://schemas.openxmlformats.org/officeDocument/2006/relationships/externalLink" Target="externalLinks/externalLink70.xml" Id="rId9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externalLink" Target="externalLinks/externalLink2.xml" Id="rId28" /><Relationship Type="http://schemas.openxmlformats.org/officeDocument/2006/relationships/externalLink" Target="externalLinks/externalLink10.xml" Id="rId36" /><Relationship Type="http://schemas.openxmlformats.org/officeDocument/2006/relationships/externalLink" Target="externalLinks/externalLink23.xml" Id="rId49" /><Relationship Type="http://schemas.openxmlformats.org/officeDocument/2006/relationships/externalLink" Target="externalLinks/externalLink31.xml" Id="rId57" /><Relationship Type="http://schemas.openxmlformats.org/officeDocument/2006/relationships/worksheet" Target="worksheets/sheet10.xml" Id="rId10" /><Relationship Type="http://schemas.openxmlformats.org/officeDocument/2006/relationships/externalLink" Target="externalLinks/externalLink5.xml" Id="rId31" /><Relationship Type="http://schemas.openxmlformats.org/officeDocument/2006/relationships/externalLink" Target="externalLinks/externalLink18.xml" Id="rId44" /><Relationship Type="http://schemas.openxmlformats.org/officeDocument/2006/relationships/externalLink" Target="externalLinks/externalLink26.xml" Id="rId52" /><Relationship Type="http://schemas.openxmlformats.org/officeDocument/2006/relationships/externalLink" Target="externalLinks/externalLink34.xml" Id="rId60" /><Relationship Type="http://schemas.openxmlformats.org/officeDocument/2006/relationships/externalLink" Target="externalLinks/externalLink39.xml" Id="rId65" /><Relationship Type="http://schemas.openxmlformats.org/officeDocument/2006/relationships/externalLink" Target="externalLinks/externalLink47.xml" Id="rId73" /><Relationship Type="http://schemas.openxmlformats.org/officeDocument/2006/relationships/externalLink" Target="externalLinks/externalLink52.xml" Id="rId78" /><Relationship Type="http://schemas.openxmlformats.org/officeDocument/2006/relationships/externalLink" Target="externalLinks/externalLink55.xml" Id="rId81" /><Relationship Type="http://schemas.openxmlformats.org/officeDocument/2006/relationships/externalLink" Target="externalLinks/externalLink60.xml" Id="rId86" /><Relationship Type="http://schemas.openxmlformats.org/officeDocument/2006/relationships/externalLink" Target="externalLinks/externalLink68.xml" Id="rId94" /><Relationship Type="http://schemas.openxmlformats.org/officeDocument/2006/relationships/externalLink" Target="externalLinks/externalLink73.xml" Id="rId99" /><Relationship Type="http://schemas.openxmlformats.org/officeDocument/2006/relationships/styles" Target="styles.xml" Id="rId10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externalLink" Target="externalLinks/externalLink13.xml" Id="rId39" /><Relationship Type="http://schemas.openxmlformats.org/officeDocument/2006/relationships/externalLink" Target="externalLinks/externalLink8.xml" Id="rId34" /><Relationship Type="http://schemas.openxmlformats.org/officeDocument/2006/relationships/externalLink" Target="externalLinks/externalLink24.xml" Id="rId50" /><Relationship Type="http://schemas.openxmlformats.org/officeDocument/2006/relationships/externalLink" Target="externalLinks/externalLink29.xml" Id="rId55" /><Relationship Type="http://schemas.openxmlformats.org/officeDocument/2006/relationships/externalLink" Target="externalLinks/externalLink50.xml" Id="rId76" /><Relationship Type="http://schemas.openxmlformats.org/officeDocument/2006/relationships/externalLink" Target="externalLinks/externalLink71.xml" Id="rId97" /><Relationship Type="http://schemas.openxmlformats.org/officeDocument/2006/relationships/customXml" Target="/customXML/item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FPUC</a:t>
            </a:r>
            <a:r>
              <a:rPr lang="en-US" baseline="0"/>
              <a:t> Customer Count </a:t>
            </a:r>
          </a:p>
          <a:p>
            <a:pPr>
              <a:defRPr/>
            </a:pPr>
            <a:r>
              <a:rPr lang="en-US" baseline="0"/>
              <a:t>2010 - 2020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5">
                    <a:shade val="76000"/>
                  </a:schemeClr>
                </a:gs>
                <a:gs pos="100000">
                  <a:schemeClr val="accent5">
                    <a:shade val="76000"/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'Customer Growth'!$B$2:$B$12</c:f>
              <c:numCache>
                <c:formatCode>General</c:formatCode>
                <c:ptCount val="11"/>
                <c:pt idx="0">
                  <c:v>67636</c:v>
                </c:pt>
                <c:pt idx="1">
                  <c:v>68710</c:v>
                </c:pt>
                <c:pt idx="2">
                  <c:v>69529</c:v>
                </c:pt>
                <c:pt idx="3">
                  <c:v>70702</c:v>
                </c:pt>
                <c:pt idx="4">
                  <c:v>73156</c:v>
                </c:pt>
                <c:pt idx="5">
                  <c:v>75160</c:v>
                </c:pt>
                <c:pt idx="6">
                  <c:v>76869</c:v>
                </c:pt>
                <c:pt idx="7">
                  <c:v>78652</c:v>
                </c:pt>
                <c:pt idx="8">
                  <c:v>81159</c:v>
                </c:pt>
                <c:pt idx="9">
                  <c:v>84204</c:v>
                </c:pt>
                <c:pt idx="10">
                  <c:v>88032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4-41B0-9D37-5FEA621EAA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73271400"/>
        <c:axId val="873267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5">
                          <a:tint val="77000"/>
                        </a:schemeClr>
                      </a:gs>
                      <a:gs pos="100000">
                        <a:schemeClr val="accent5">
                          <a:tint val="77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1"/>
                    <c:pt idx="0">
                      <c:v>2010</c:v>
                    </c:pt>
                    <c:pt idx="1">
                      <c:v>2011</c:v>
                    </c:pt>
                    <c:pt idx="2">
                      <c:v>2012</c:v>
                    </c:pt>
                    <c:pt idx="3">
                      <c:v>2013</c:v>
                    </c:pt>
                    <c:pt idx="4">
                      <c:v>2014</c:v>
                    </c:pt>
                    <c:pt idx="5">
                      <c:v>2015</c:v>
                    </c:pt>
                    <c:pt idx="6">
                      <c:v>2016</c:v>
                    </c:pt>
                    <c:pt idx="7">
                      <c:v>2017</c:v>
                    </c:pt>
                    <c:pt idx="8">
                      <c:v>2018</c:v>
                    </c:pt>
                    <c:pt idx="9">
                      <c:v>2019</c:v>
                    </c:pt>
                    <c:pt idx="10">
                      <c:v>2020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'Customer Growth'!$A$2:$A$12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254-41B0-9D37-5FEA621EAA85}"/>
                  </c:ext>
                </c:extLst>
              </c15:ser>
            </c15:filteredBarSeries>
          </c:ext>
        </c:extLst>
      </c:barChart>
      <c:catAx>
        <c:axId val="87327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267464"/>
        <c:crosses val="autoZero"/>
        <c:auto val="1"/>
        <c:lblAlgn val="ctr"/>
        <c:lblOffset val="100"/>
        <c:noMultiLvlLbl val="0"/>
      </c:catAx>
      <c:valAx>
        <c:axId val="873267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7327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0</xdr:row>
      <xdr:rowOff>26670</xdr:rowOff>
    </xdr:from>
    <xdr:to>
      <xdr:col>13</xdr:col>
      <xdr:colOff>426720</xdr:colOff>
      <xdr:row>19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S_Estimating_%20Forecasting\Forecasting\Bookings%20Forecast\CY10-3\CY10-3%20FY2010%20Rev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Budget%20Forecast_Retrieve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FenwayOptionList%20post%20amendment%204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1%20new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2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3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5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6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8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20%20(002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21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1%20new%20(002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2%20(002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3%20(002)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4%20(002)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5%20(002)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6%20(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7%20(002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8%20(002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19%20(002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ke\AppData\Local\Microsoft\Windows\INetCache\Content.Outlook\XEOMI8UU\Customers%20and%20Volumes%20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ING_REV_SUMMARY"/>
      <sheetName val="Summary"/>
      <sheetName val="Bookings by Customer"/>
      <sheetName val="Bookings by Product Line"/>
      <sheetName val="CY10-2 Bookings"/>
      <sheetName val="CY10-2 Revenue"/>
      <sheetName val="Backup Projects"/>
      <sheetName val="Khalix Summary"/>
      <sheetName val="KhalixTemplateNEW"/>
      <sheetName val="Sheet1"/>
      <sheetName val="Sheet2"/>
      <sheetName val="Fee Summary"/>
      <sheetName val="DATES"/>
      <sheetName val="CURVES-MC"/>
      <sheetName val="Historical Data"/>
      <sheetName val="Variance 06-3 vs 07-0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Q2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>
        <row r="9">
          <cell r="E9" t="str">
            <v>($ in millions)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>
        <row r="18">
          <cell r="D18">
            <v>1</v>
          </cell>
          <cell r="E18" t="str">
            <v>Level Company</v>
          </cell>
        </row>
        <row r="19">
          <cell r="D19">
            <v>2</v>
          </cell>
        </row>
        <row r="20">
          <cell r="D20">
            <v>3</v>
          </cell>
        </row>
        <row r="21">
          <cell r="D21">
            <v>4</v>
          </cell>
        </row>
        <row r="22">
          <cell r="D22">
            <v>5</v>
          </cell>
        </row>
      </sheetData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forecast% Adj Gross"/>
      <sheetName val="forecast % Net Sales"/>
      <sheetName val="Forecast2"/>
      <sheetName val="forecast% Adj Gross2"/>
      <sheetName val="forecast % Net Sales2"/>
      <sheetName val="download"/>
      <sheetName val="download2"/>
      <sheetName val="download3"/>
      <sheetName val="Compa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>
        <row r="8">
          <cell r="A8" t="str">
            <v>Adjusted Total Simmons Company</v>
          </cell>
        </row>
        <row r="9">
          <cell r="A9" t="str">
            <v>Total Plants</v>
          </cell>
        </row>
        <row r="10">
          <cell r="A10" t="str">
            <v>Eastern Division</v>
          </cell>
        </row>
        <row r="11">
          <cell r="A11" t="str">
            <v>Columbus</v>
          </cell>
        </row>
        <row r="12">
          <cell r="A12" t="str">
            <v>Piscataway</v>
          </cell>
        </row>
        <row r="13">
          <cell r="A13" t="str">
            <v>Atlanta</v>
          </cell>
        </row>
        <row r="14">
          <cell r="A14" t="str">
            <v>Jacksonville</v>
          </cell>
        </row>
        <row r="15">
          <cell r="A15" t="str">
            <v>Janesville</v>
          </cell>
        </row>
        <row r="16">
          <cell r="A16" t="str">
            <v>Springfield</v>
          </cell>
        </row>
        <row r="17">
          <cell r="A17" t="str">
            <v>Charlotte</v>
          </cell>
        </row>
        <row r="18">
          <cell r="A18" t="str">
            <v>Fredericksburg</v>
          </cell>
        </row>
        <row r="19">
          <cell r="A19" t="str">
            <v>Western Division</v>
          </cell>
        </row>
        <row r="20">
          <cell r="A20" t="str">
            <v>Kansas City</v>
          </cell>
        </row>
        <row r="21">
          <cell r="A21" t="str">
            <v>San Leandro</v>
          </cell>
        </row>
        <row r="22">
          <cell r="A22" t="str">
            <v>Los Angeles</v>
          </cell>
        </row>
        <row r="23">
          <cell r="A23" t="str">
            <v>Honolulu</v>
          </cell>
        </row>
        <row r="24">
          <cell r="A24" t="str">
            <v>Dallas</v>
          </cell>
        </row>
        <row r="25">
          <cell r="A25" t="str">
            <v>Denver</v>
          </cell>
        </row>
        <row r="26">
          <cell r="A26" t="str">
            <v>Seattle</v>
          </cell>
        </row>
        <row r="27">
          <cell r="A27" t="str">
            <v>Salt Lake City</v>
          </cell>
        </row>
        <row r="28">
          <cell r="A28" t="str">
            <v>Phoenix</v>
          </cell>
        </row>
        <row r="29">
          <cell r="A29" t="str">
            <v>Puerto Rico</v>
          </cell>
        </row>
        <row r="30">
          <cell r="A30" t="str">
            <v>Southwest Region</v>
          </cell>
        </row>
        <row r="31">
          <cell r="A31" t="str">
            <v>Southeast Region</v>
          </cell>
        </row>
        <row r="32">
          <cell r="A32" t="str">
            <v>South Central Region</v>
          </cell>
        </row>
        <row r="33">
          <cell r="A33" t="str">
            <v>Northwest Region</v>
          </cell>
        </row>
        <row r="34">
          <cell r="A34" t="str">
            <v>Northeast Region</v>
          </cell>
        </row>
        <row r="35">
          <cell r="A35" t="str">
            <v>North Central Region</v>
          </cell>
        </row>
        <row r="36">
          <cell r="A36" t="str">
            <v>Carribean Region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  <cell r="R9">
            <v>1</v>
          </cell>
        </row>
        <row r="47">
          <cell r="K47">
            <v>121.68</v>
          </cell>
          <cell r="S47">
            <v>811.88100000000009</v>
          </cell>
        </row>
        <row r="50">
          <cell r="S50">
            <v>2333.9569999999999</v>
          </cell>
        </row>
        <row r="54">
          <cell r="K54">
            <v>95.346999999999994</v>
          </cell>
          <cell r="S54">
            <v>1307.1079999999999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  <cell r="S68">
            <v>0.70499999999999996</v>
          </cell>
        </row>
        <row r="69">
          <cell r="K69">
            <v>1.4778817201897638</v>
          </cell>
          <cell r="S69">
            <v>0.86</v>
          </cell>
        </row>
        <row r="70">
          <cell r="K70">
            <v>1.8496928195173608</v>
          </cell>
          <cell r="S70">
            <v>1.145</v>
          </cell>
        </row>
        <row r="191">
          <cell r="H191">
            <v>0</v>
          </cell>
          <cell r="I191">
            <v>0</v>
          </cell>
          <cell r="K19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Options"/>
      <sheetName val="New Options+Rollover Equity"/>
      <sheetName val="Equity+Options Summary"/>
      <sheetName val="Repurchases"/>
    </sheetNames>
    <sheetDataSet>
      <sheetData sheetId="0" refreshError="1">
        <row r="1">
          <cell r="A1" t="str">
            <v>Simmons Holdings, Inc.</v>
          </cell>
        </row>
        <row r="2">
          <cell r="A2" t="str">
            <v>Option Grants Approved - 1999</v>
          </cell>
        </row>
        <row r="4">
          <cell r="C4" t="str">
            <v>Regular</v>
          </cell>
          <cell r="D4" t="str">
            <v>Super-incentive</v>
          </cell>
        </row>
        <row r="5">
          <cell r="A5" t="str">
            <v>Name</v>
          </cell>
          <cell r="B5" t="str">
            <v>Title</v>
          </cell>
          <cell r="C5" t="str">
            <v>Options</v>
          </cell>
          <cell r="D5" t="str">
            <v>Options</v>
          </cell>
          <cell r="E5" t="str">
            <v>Total</v>
          </cell>
        </row>
        <row r="7">
          <cell r="A7" t="str">
            <v>Chairman's Committee:</v>
          </cell>
        </row>
        <row r="8">
          <cell r="A8" t="str">
            <v>Ayers, Les</v>
          </cell>
          <cell r="B8" t="str">
            <v>EVP-Sales &amp; Marketing</v>
          </cell>
          <cell r="C8">
            <v>40000</v>
          </cell>
          <cell r="D8">
            <v>10000</v>
          </cell>
          <cell r="E8">
            <v>50000</v>
          </cell>
        </row>
        <row r="9">
          <cell r="A9" t="str">
            <v>Barton, Ken</v>
          </cell>
          <cell r="B9" t="str">
            <v>SVP-Human Resources</v>
          </cell>
          <cell r="C9">
            <v>70000</v>
          </cell>
          <cell r="D9">
            <v>30000</v>
          </cell>
          <cell r="E9">
            <v>100000</v>
          </cell>
        </row>
        <row r="10">
          <cell r="A10" t="str">
            <v>Brennan, Leo</v>
          </cell>
          <cell r="B10" t="str">
            <v>VP-Materials Mgmt</v>
          </cell>
          <cell r="C10">
            <v>0</v>
          </cell>
          <cell r="D10">
            <v>0</v>
          </cell>
          <cell r="E10">
            <v>0</v>
          </cell>
        </row>
        <row r="11">
          <cell r="A11" t="str">
            <v>Daiker, Jon</v>
          </cell>
          <cell r="B11" t="str">
            <v>EVP-Finance &amp; Admin</v>
          </cell>
          <cell r="C11">
            <v>60000</v>
          </cell>
          <cell r="D11">
            <v>20000</v>
          </cell>
          <cell r="E11">
            <v>80000</v>
          </cell>
        </row>
        <row r="12">
          <cell r="A12" t="str">
            <v>Franklin, Roger</v>
          </cell>
          <cell r="B12" t="str">
            <v>VP-Finance, Treasurer</v>
          </cell>
          <cell r="C12">
            <v>110000</v>
          </cell>
          <cell r="D12">
            <v>40000</v>
          </cell>
          <cell r="E12">
            <v>150000</v>
          </cell>
        </row>
        <row r="13">
          <cell r="A13" t="str">
            <v>Maher, Jim</v>
          </cell>
          <cell r="B13" t="str">
            <v>Divisional President</v>
          </cell>
          <cell r="C13">
            <v>50000</v>
          </cell>
          <cell r="D13">
            <v>15000</v>
          </cell>
          <cell r="E13">
            <v>65000</v>
          </cell>
        </row>
        <row r="14">
          <cell r="A14" t="str">
            <v>Murphy, Cleve</v>
          </cell>
          <cell r="B14" t="str">
            <v>Divisional President</v>
          </cell>
          <cell r="C14">
            <v>50000</v>
          </cell>
          <cell r="D14">
            <v>15000</v>
          </cell>
          <cell r="E14">
            <v>65000</v>
          </cell>
        </row>
        <row r="15">
          <cell r="A15" t="str">
            <v>Nie, Zenon</v>
          </cell>
          <cell r="B15" t="str">
            <v>CEO, Chairman</v>
          </cell>
          <cell r="C15">
            <v>1000000</v>
          </cell>
          <cell r="D15">
            <v>350000</v>
          </cell>
          <cell r="E15">
            <v>1350000</v>
          </cell>
        </row>
        <row r="16">
          <cell r="A16" t="str">
            <v>Passaglia, Ron</v>
          </cell>
          <cell r="B16" t="str">
            <v>SEVP</v>
          </cell>
          <cell r="C16">
            <v>35000</v>
          </cell>
          <cell r="D16">
            <v>15000</v>
          </cell>
          <cell r="E16">
            <v>50000</v>
          </cell>
        </row>
        <row r="17">
          <cell r="A17" t="str">
            <v>Pleasant, Gary</v>
          </cell>
          <cell r="B17" t="str">
            <v>Divisional President</v>
          </cell>
          <cell r="C17">
            <v>50000</v>
          </cell>
          <cell r="D17">
            <v>15000</v>
          </cell>
          <cell r="E17">
            <v>65000</v>
          </cell>
        </row>
        <row r="18">
          <cell r="A18" t="str">
            <v>Rakauskas, Mike</v>
          </cell>
          <cell r="B18" t="str">
            <v>EVP-Strategic Ventures</v>
          </cell>
          <cell r="C18">
            <v>30000</v>
          </cell>
          <cell r="D18">
            <v>10000</v>
          </cell>
          <cell r="E18">
            <v>40000</v>
          </cell>
        </row>
        <row r="19">
          <cell r="A19" t="str">
            <v>Senese, Gary</v>
          </cell>
          <cell r="B19" t="str">
            <v>VP-Information Services</v>
          </cell>
          <cell r="C19">
            <v>30000</v>
          </cell>
          <cell r="D19">
            <v>10000</v>
          </cell>
          <cell r="E19">
            <v>40000</v>
          </cell>
        </row>
        <row r="20">
          <cell r="A20" t="str">
            <v>Ulicny, Joe</v>
          </cell>
          <cell r="B20" t="str">
            <v>EVP-Market Development</v>
          </cell>
          <cell r="C20">
            <v>80000</v>
          </cell>
          <cell r="D20">
            <v>20000</v>
          </cell>
          <cell r="E20">
            <v>100000</v>
          </cell>
        </row>
        <row r="21">
          <cell r="B21" t="str">
            <v>COO</v>
          </cell>
          <cell r="C21">
            <v>275000</v>
          </cell>
          <cell r="D21">
            <v>125000</v>
          </cell>
          <cell r="E21">
            <v>400000</v>
          </cell>
        </row>
        <row r="22">
          <cell r="A22" t="str">
            <v>Subtotal</v>
          </cell>
          <cell r="C22">
            <v>1880000</v>
          </cell>
          <cell r="D22">
            <v>675000</v>
          </cell>
          <cell r="E22">
            <v>2555000</v>
          </cell>
        </row>
        <row r="24">
          <cell r="A24" t="str">
            <v>Corporate:</v>
          </cell>
        </row>
        <row r="25">
          <cell r="A25" t="str">
            <v>Breen, Brian</v>
          </cell>
          <cell r="B25" t="str">
            <v>Divisional Controller</v>
          </cell>
          <cell r="C25">
            <v>5000</v>
          </cell>
          <cell r="D25">
            <v>5000</v>
          </cell>
          <cell r="E25">
            <v>10000</v>
          </cell>
        </row>
        <row r="26">
          <cell r="A26" t="str">
            <v>Cantrell, Danny</v>
          </cell>
          <cell r="B26" t="str">
            <v>VP-National Accounts</v>
          </cell>
          <cell r="C26">
            <v>10000</v>
          </cell>
          <cell r="D26">
            <v>2000</v>
          </cell>
          <cell r="E26">
            <v>12000</v>
          </cell>
        </row>
        <row r="27">
          <cell r="A27" t="str">
            <v>Carstens, Bob</v>
          </cell>
          <cell r="B27" t="str">
            <v>Divisional VP-Operations</v>
          </cell>
          <cell r="C27">
            <v>20000</v>
          </cell>
          <cell r="D27">
            <v>10000</v>
          </cell>
          <cell r="E27">
            <v>30000</v>
          </cell>
        </row>
        <row r="28">
          <cell r="A28" t="str">
            <v>Colletto, Jeff</v>
          </cell>
          <cell r="B28" t="str">
            <v>VP-Sales</v>
          </cell>
          <cell r="C28">
            <v>3000</v>
          </cell>
          <cell r="D28">
            <v>2000</v>
          </cell>
          <cell r="E28">
            <v>5000</v>
          </cell>
        </row>
        <row r="29">
          <cell r="A29" t="str">
            <v>Castricone, Pat</v>
          </cell>
          <cell r="B29" t="str">
            <v>VP-Contract Division</v>
          </cell>
          <cell r="C29">
            <v>10000</v>
          </cell>
          <cell r="D29">
            <v>5000</v>
          </cell>
          <cell r="E29">
            <v>15000</v>
          </cell>
        </row>
        <row r="30">
          <cell r="A30" t="str">
            <v>Chambless, Mark</v>
          </cell>
          <cell r="B30" t="str">
            <v>Corporate Controller</v>
          </cell>
          <cell r="C30">
            <v>5000</v>
          </cell>
          <cell r="D30">
            <v>5000</v>
          </cell>
          <cell r="E30">
            <v>10000</v>
          </cell>
        </row>
        <row r="31">
          <cell r="A31" t="str">
            <v>Cuppia, Andy</v>
          </cell>
          <cell r="B31" t="str">
            <v>Divisional VP-Operations</v>
          </cell>
          <cell r="C31">
            <v>20000</v>
          </cell>
          <cell r="D31">
            <v>10000</v>
          </cell>
          <cell r="E31">
            <v>30000</v>
          </cell>
        </row>
        <row r="32">
          <cell r="A32" t="str">
            <v>Glover, Joyce</v>
          </cell>
          <cell r="B32" t="str">
            <v>VP-Personnel</v>
          </cell>
          <cell r="C32">
            <v>3000</v>
          </cell>
          <cell r="D32">
            <v>2000</v>
          </cell>
          <cell r="E32">
            <v>5000</v>
          </cell>
        </row>
        <row r="33">
          <cell r="A33" t="str">
            <v>Grippando, Jerry</v>
          </cell>
          <cell r="B33" t="str">
            <v>VP-Business Integration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Hofmann, Don</v>
          </cell>
          <cell r="B34" t="str">
            <v>VP-Advertising/Marketing</v>
          </cell>
          <cell r="C34">
            <v>37000</v>
          </cell>
          <cell r="D34">
            <v>13000</v>
          </cell>
          <cell r="E34">
            <v>50000</v>
          </cell>
        </row>
        <row r="35">
          <cell r="A35" t="str">
            <v>Hutchinson, Ron</v>
          </cell>
          <cell r="B35" t="str">
            <v>VP-Quality Assurance</v>
          </cell>
          <cell r="C35">
            <v>3000</v>
          </cell>
          <cell r="D35">
            <v>2000</v>
          </cell>
          <cell r="E35">
            <v>5000</v>
          </cell>
        </row>
        <row r="36">
          <cell r="A36" t="str">
            <v>Katz, Rob</v>
          </cell>
          <cell r="B36" t="str">
            <v>Divisional Controller</v>
          </cell>
          <cell r="C36">
            <v>5000</v>
          </cell>
          <cell r="D36">
            <v>5000</v>
          </cell>
          <cell r="E36">
            <v>10000</v>
          </cell>
        </row>
        <row r="37">
          <cell r="A37" t="str">
            <v>Kelley, Jack</v>
          </cell>
          <cell r="B37" t="str">
            <v>VP-Purchasing</v>
          </cell>
          <cell r="C37">
            <v>22000</v>
          </cell>
          <cell r="D37">
            <v>8000</v>
          </cell>
          <cell r="E37">
            <v>30000</v>
          </cell>
        </row>
        <row r="38">
          <cell r="A38" t="str">
            <v>Leber, Paul</v>
          </cell>
          <cell r="B38" t="str">
            <v>VP-Mfg &amp; Quality</v>
          </cell>
          <cell r="C38">
            <v>20000</v>
          </cell>
          <cell r="D38">
            <v>5000</v>
          </cell>
          <cell r="E38">
            <v>25000</v>
          </cell>
        </row>
        <row r="39">
          <cell r="A39" t="str">
            <v>Ling, Kurt</v>
          </cell>
          <cell r="B39" t="str">
            <v>VP-Beautyrest Brand Mgr</v>
          </cell>
          <cell r="C39">
            <v>30000</v>
          </cell>
          <cell r="D39">
            <v>10000</v>
          </cell>
          <cell r="E39">
            <v>40000</v>
          </cell>
        </row>
        <row r="40">
          <cell r="A40" t="str">
            <v>Little, Scott</v>
          </cell>
          <cell r="B40" t="str">
            <v>VP-National Accounts</v>
          </cell>
          <cell r="C40">
            <v>2000</v>
          </cell>
          <cell r="D40">
            <v>2000</v>
          </cell>
          <cell r="E40">
            <v>4000</v>
          </cell>
        </row>
        <row r="41">
          <cell r="A41" t="str">
            <v>Messner, Richard</v>
          </cell>
          <cell r="B41" t="str">
            <v>Divisional Controller</v>
          </cell>
          <cell r="C41">
            <v>3000</v>
          </cell>
          <cell r="D41">
            <v>2000</v>
          </cell>
          <cell r="E41">
            <v>5000</v>
          </cell>
        </row>
        <row r="42">
          <cell r="A42" t="str">
            <v>Miller, Scott</v>
          </cell>
          <cell r="B42" t="str">
            <v>VP-National Accounts</v>
          </cell>
          <cell r="C42">
            <v>2000</v>
          </cell>
          <cell r="D42">
            <v>2000</v>
          </cell>
          <cell r="E42">
            <v>4000</v>
          </cell>
        </row>
        <row r="43">
          <cell r="A43" t="str">
            <v>Murray, Roger</v>
          </cell>
          <cell r="B43" t="str">
            <v>VP-Sales (National)</v>
          </cell>
          <cell r="C43">
            <v>5000</v>
          </cell>
          <cell r="D43">
            <v>5000</v>
          </cell>
          <cell r="E43">
            <v>10000</v>
          </cell>
        </row>
        <row r="44">
          <cell r="A44" t="str">
            <v>Oakhill, Tim</v>
          </cell>
          <cell r="B44" t="str">
            <v>VP-BackCare Brand Mgr</v>
          </cell>
          <cell r="C44">
            <v>30000</v>
          </cell>
          <cell r="D44">
            <v>10000</v>
          </cell>
          <cell r="E44">
            <v>40000</v>
          </cell>
        </row>
        <row r="45">
          <cell r="A45" t="str">
            <v>Peterken, John</v>
          </cell>
          <cell r="B45" t="str">
            <v>VP-International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Stammer, Laura</v>
          </cell>
          <cell r="B46" t="str">
            <v>Divisional Controller</v>
          </cell>
          <cell r="C46">
            <v>5000</v>
          </cell>
          <cell r="D46">
            <v>5000</v>
          </cell>
          <cell r="E46">
            <v>10000</v>
          </cell>
        </row>
        <row r="47">
          <cell r="A47" t="str">
            <v>Wagner, Bill</v>
          </cell>
          <cell r="B47" t="str">
            <v>Divisional VP-Operations</v>
          </cell>
          <cell r="C47">
            <v>5000</v>
          </cell>
          <cell r="D47">
            <v>5000</v>
          </cell>
          <cell r="E47">
            <v>10000</v>
          </cell>
        </row>
        <row r="48">
          <cell r="A48" t="str">
            <v>Ward, Ken</v>
          </cell>
          <cell r="B48" t="str">
            <v>Financial Reporting Mgr</v>
          </cell>
          <cell r="C48">
            <v>18000</v>
          </cell>
          <cell r="D48">
            <v>7000</v>
          </cell>
          <cell r="E48">
            <v>25000</v>
          </cell>
        </row>
        <row r="49">
          <cell r="A49" t="str">
            <v>Woodhead, David</v>
          </cell>
          <cell r="B49" t="str">
            <v>Divisional Controller</v>
          </cell>
          <cell r="C49">
            <v>10000</v>
          </cell>
          <cell r="D49">
            <v>5000</v>
          </cell>
          <cell r="E49">
            <v>15000</v>
          </cell>
        </row>
        <row r="50">
          <cell r="A50" t="str">
            <v>Subtotal</v>
          </cell>
          <cell r="C50">
            <v>273000</v>
          </cell>
          <cell r="D50">
            <v>127000</v>
          </cell>
          <cell r="E50">
            <v>400000</v>
          </cell>
        </row>
        <row r="52">
          <cell r="A52" t="str">
            <v>Plant General Managers:</v>
          </cell>
        </row>
        <row r="53">
          <cell r="A53" t="str">
            <v>Brooks, Jim</v>
          </cell>
          <cell r="B53" t="str">
            <v>Charlotte</v>
          </cell>
          <cell r="C53">
            <v>10000</v>
          </cell>
          <cell r="D53">
            <v>5000</v>
          </cell>
          <cell r="E53">
            <v>15000</v>
          </cell>
        </row>
        <row r="54">
          <cell r="A54" t="str">
            <v>Clayton, Steve</v>
          </cell>
          <cell r="B54" t="str">
            <v>Atlanta</v>
          </cell>
          <cell r="C54">
            <v>20000</v>
          </cell>
          <cell r="D54">
            <v>5000</v>
          </cell>
          <cell r="E54">
            <v>25000</v>
          </cell>
        </row>
        <row r="55">
          <cell r="A55" t="str">
            <v>Cowie, Paul</v>
          </cell>
          <cell r="B55" t="str">
            <v>Springfield</v>
          </cell>
          <cell r="C55">
            <v>8000</v>
          </cell>
          <cell r="D55">
            <v>2000</v>
          </cell>
          <cell r="E55">
            <v>10000</v>
          </cell>
        </row>
        <row r="56">
          <cell r="A56" t="str">
            <v>Dohm, Steve</v>
          </cell>
          <cell r="B56" t="str">
            <v>Dallas</v>
          </cell>
          <cell r="C56">
            <v>15000</v>
          </cell>
          <cell r="D56">
            <v>5000</v>
          </cell>
          <cell r="E56">
            <v>20000</v>
          </cell>
        </row>
        <row r="57">
          <cell r="A57" t="str">
            <v>Elliott, Bill</v>
          </cell>
          <cell r="B57" t="str">
            <v>San Leandro</v>
          </cell>
          <cell r="C57">
            <v>15000</v>
          </cell>
          <cell r="D57">
            <v>5000</v>
          </cell>
          <cell r="E57">
            <v>20000</v>
          </cell>
        </row>
        <row r="58">
          <cell r="A58" t="str">
            <v>Giambolvo, John</v>
          </cell>
          <cell r="B58" t="str">
            <v>Los Angeles</v>
          </cell>
          <cell r="C58">
            <v>15000</v>
          </cell>
          <cell r="D58">
            <v>5000</v>
          </cell>
          <cell r="E58">
            <v>20000</v>
          </cell>
        </row>
        <row r="59">
          <cell r="A59" t="str">
            <v>Hellyer, Bob</v>
          </cell>
          <cell r="B59" t="str">
            <v>Janesville</v>
          </cell>
          <cell r="C59">
            <v>15000</v>
          </cell>
          <cell r="D59">
            <v>5000</v>
          </cell>
          <cell r="E59">
            <v>20000</v>
          </cell>
        </row>
        <row r="60">
          <cell r="A60" t="str">
            <v>Inman, Mike</v>
          </cell>
          <cell r="B60" t="str">
            <v>Jacksonville</v>
          </cell>
          <cell r="C60">
            <v>15000</v>
          </cell>
          <cell r="D60">
            <v>5000</v>
          </cell>
          <cell r="E60">
            <v>20000</v>
          </cell>
        </row>
        <row r="61">
          <cell r="A61" t="str">
            <v>Lachenmaier, Bob</v>
          </cell>
          <cell r="B61" t="str">
            <v>Phoenix</v>
          </cell>
          <cell r="C61">
            <v>10000</v>
          </cell>
          <cell r="D61">
            <v>5000</v>
          </cell>
          <cell r="E61">
            <v>15000</v>
          </cell>
        </row>
        <row r="62">
          <cell r="A62" t="str">
            <v>Messerschmitt, Paul</v>
          </cell>
          <cell r="B62" t="str">
            <v>Columbus</v>
          </cell>
          <cell r="C62">
            <v>10000</v>
          </cell>
          <cell r="D62">
            <v>5000</v>
          </cell>
          <cell r="E62">
            <v>15000</v>
          </cell>
        </row>
        <row r="63">
          <cell r="A63" t="str">
            <v>Miller, John</v>
          </cell>
          <cell r="B63" t="str">
            <v>Seattle</v>
          </cell>
          <cell r="C63">
            <v>10000</v>
          </cell>
          <cell r="D63">
            <v>5000</v>
          </cell>
          <cell r="E63">
            <v>15000</v>
          </cell>
        </row>
        <row r="64">
          <cell r="A64" t="str">
            <v>O'sorio, Hector</v>
          </cell>
          <cell r="B64" t="str">
            <v>Puerto Rico</v>
          </cell>
          <cell r="C64">
            <v>5000</v>
          </cell>
          <cell r="D64">
            <v>4000</v>
          </cell>
          <cell r="E64">
            <v>9000</v>
          </cell>
        </row>
        <row r="65">
          <cell r="A65" t="str">
            <v>Parsons, Mike</v>
          </cell>
          <cell r="B65" t="str">
            <v>Denver</v>
          </cell>
          <cell r="C65">
            <v>5000</v>
          </cell>
          <cell r="D65">
            <v>5000</v>
          </cell>
          <cell r="E65">
            <v>10000</v>
          </cell>
        </row>
        <row r="66">
          <cell r="A66" t="str">
            <v>Poliseo, Rocco</v>
          </cell>
          <cell r="B66" t="str">
            <v>Fredericksburg</v>
          </cell>
          <cell r="C66">
            <v>5000</v>
          </cell>
          <cell r="D66">
            <v>5000</v>
          </cell>
          <cell r="E66">
            <v>10000</v>
          </cell>
        </row>
        <row r="67">
          <cell r="A67" t="str">
            <v>Saunders, Rod</v>
          </cell>
          <cell r="B67" t="str">
            <v>Honolulu</v>
          </cell>
          <cell r="C67">
            <v>5000</v>
          </cell>
          <cell r="D67">
            <v>2000</v>
          </cell>
          <cell r="E67">
            <v>7000</v>
          </cell>
        </row>
        <row r="68">
          <cell r="A68" t="str">
            <v>Silverstone, Howard</v>
          </cell>
          <cell r="B68" t="str">
            <v>Piscataway</v>
          </cell>
          <cell r="C68">
            <v>15000</v>
          </cell>
          <cell r="D68">
            <v>5000</v>
          </cell>
          <cell r="E68">
            <v>20000</v>
          </cell>
        </row>
        <row r="69">
          <cell r="A69" t="str">
            <v>Tobin, Jim</v>
          </cell>
          <cell r="B69" t="str">
            <v>Kansas City</v>
          </cell>
          <cell r="C69">
            <v>10000</v>
          </cell>
          <cell r="D69">
            <v>5000</v>
          </cell>
          <cell r="E69">
            <v>15000</v>
          </cell>
        </row>
        <row r="70">
          <cell r="A70" t="str">
            <v>Open</v>
          </cell>
          <cell r="B70" t="str">
            <v>Salt Lake City</v>
          </cell>
          <cell r="E70">
            <v>0</v>
          </cell>
        </row>
        <row r="71">
          <cell r="A71" t="str">
            <v>Caballero, Enrique</v>
          </cell>
          <cell r="B71" t="str">
            <v>VP-Ops, Puerto Rico</v>
          </cell>
          <cell r="C71">
            <v>3000</v>
          </cell>
          <cell r="D71">
            <v>2000</v>
          </cell>
          <cell r="E71">
            <v>5000</v>
          </cell>
        </row>
        <row r="72">
          <cell r="A72" t="str">
            <v>Subtotal</v>
          </cell>
          <cell r="C72">
            <v>191000</v>
          </cell>
          <cell r="D72">
            <v>80000</v>
          </cell>
          <cell r="E72">
            <v>271000</v>
          </cell>
        </row>
        <row r="74">
          <cell r="A74" t="str">
            <v>Plant Sales Managers:</v>
          </cell>
        </row>
        <row r="75">
          <cell r="A75" t="str">
            <v>Applegate, Doug</v>
          </cell>
          <cell r="B75" t="str">
            <v>Denver</v>
          </cell>
          <cell r="C75">
            <v>2000</v>
          </cell>
          <cell r="D75">
            <v>2000</v>
          </cell>
          <cell r="E75">
            <v>4000</v>
          </cell>
        </row>
        <row r="76">
          <cell r="A76" t="str">
            <v>Azevedo, Dominick</v>
          </cell>
          <cell r="B76" t="str">
            <v>Kansas City</v>
          </cell>
          <cell r="C76">
            <v>2000</v>
          </cell>
          <cell r="D76">
            <v>2000</v>
          </cell>
          <cell r="E76">
            <v>4000</v>
          </cell>
        </row>
        <row r="77">
          <cell r="A77" t="str">
            <v>Blackmon, Colin</v>
          </cell>
          <cell r="B77" t="str">
            <v>Jacksonville</v>
          </cell>
          <cell r="C77">
            <v>2000</v>
          </cell>
          <cell r="D77">
            <v>2000</v>
          </cell>
          <cell r="E77">
            <v>4000</v>
          </cell>
        </row>
        <row r="78">
          <cell r="A78" t="str">
            <v>Connelly, Bob</v>
          </cell>
          <cell r="B78" t="str">
            <v>Charlotte</v>
          </cell>
          <cell r="C78">
            <v>2000</v>
          </cell>
          <cell r="D78">
            <v>2000</v>
          </cell>
          <cell r="E78">
            <v>4000</v>
          </cell>
        </row>
        <row r="79">
          <cell r="A79" t="str">
            <v>Dentale, Mark</v>
          </cell>
          <cell r="B79" t="str">
            <v>Janesville</v>
          </cell>
          <cell r="C79">
            <v>3000</v>
          </cell>
          <cell r="D79">
            <v>2000</v>
          </cell>
          <cell r="E79">
            <v>5000</v>
          </cell>
        </row>
        <row r="80">
          <cell r="A80" t="str">
            <v>Jent, Eric</v>
          </cell>
          <cell r="B80" t="str">
            <v>Piscataway</v>
          </cell>
          <cell r="C80">
            <v>2000</v>
          </cell>
          <cell r="D80">
            <v>2000</v>
          </cell>
          <cell r="E80">
            <v>4000</v>
          </cell>
        </row>
        <row r="81">
          <cell r="A81" t="str">
            <v>Kinde, Doug</v>
          </cell>
          <cell r="B81" t="str">
            <v>Atlanta</v>
          </cell>
          <cell r="C81">
            <v>2000</v>
          </cell>
          <cell r="D81">
            <v>2000</v>
          </cell>
          <cell r="E81">
            <v>4000</v>
          </cell>
        </row>
        <row r="82">
          <cell r="A82" t="str">
            <v>Long, David</v>
          </cell>
          <cell r="B82" t="str">
            <v>Los Angeles</v>
          </cell>
          <cell r="C82">
            <v>3000</v>
          </cell>
          <cell r="D82">
            <v>2000</v>
          </cell>
          <cell r="E82">
            <v>5000</v>
          </cell>
        </row>
        <row r="83">
          <cell r="A83" t="str">
            <v>Miller, Todd</v>
          </cell>
          <cell r="B83" t="str">
            <v>San Leandro</v>
          </cell>
          <cell r="C83">
            <v>3000</v>
          </cell>
          <cell r="D83">
            <v>2000</v>
          </cell>
          <cell r="E83">
            <v>5000</v>
          </cell>
        </row>
        <row r="84">
          <cell r="A84" t="str">
            <v>Phelps, Michael</v>
          </cell>
          <cell r="B84" t="str">
            <v>Columbus</v>
          </cell>
          <cell r="C84">
            <v>2000</v>
          </cell>
          <cell r="D84">
            <v>2000</v>
          </cell>
          <cell r="E84">
            <v>4000</v>
          </cell>
        </row>
        <row r="85">
          <cell r="A85" t="str">
            <v>Slattery, Shawn</v>
          </cell>
          <cell r="B85" t="str">
            <v>Springfield</v>
          </cell>
          <cell r="C85">
            <v>2000</v>
          </cell>
          <cell r="D85">
            <v>2000</v>
          </cell>
          <cell r="E85">
            <v>4000</v>
          </cell>
        </row>
        <row r="86">
          <cell r="A86" t="str">
            <v>Strailey, Dennis</v>
          </cell>
          <cell r="B86" t="str">
            <v>Dallas</v>
          </cell>
          <cell r="C86">
            <v>2000</v>
          </cell>
          <cell r="D86">
            <v>2000</v>
          </cell>
          <cell r="E86">
            <v>4000</v>
          </cell>
        </row>
        <row r="87">
          <cell r="A87" t="str">
            <v>Wilson, Craig</v>
          </cell>
          <cell r="B87" t="str">
            <v>Phoenix</v>
          </cell>
          <cell r="C87">
            <v>1000</v>
          </cell>
          <cell r="D87">
            <v>2000</v>
          </cell>
          <cell r="E87">
            <v>3000</v>
          </cell>
        </row>
        <row r="88">
          <cell r="A88" t="str">
            <v>Open</v>
          </cell>
          <cell r="B88" t="str">
            <v>Fredericksburg</v>
          </cell>
          <cell r="E88">
            <v>0</v>
          </cell>
        </row>
        <row r="89">
          <cell r="A89" t="str">
            <v>Open</v>
          </cell>
          <cell r="B89" t="str">
            <v>Honolulu</v>
          </cell>
          <cell r="E89">
            <v>0</v>
          </cell>
        </row>
        <row r="90">
          <cell r="A90" t="str">
            <v>Open</v>
          </cell>
          <cell r="B90" t="str">
            <v>Los Angeles</v>
          </cell>
          <cell r="C90">
            <v>2000</v>
          </cell>
          <cell r="D90">
            <v>2000</v>
          </cell>
          <cell r="E90">
            <v>4000</v>
          </cell>
        </row>
        <row r="91">
          <cell r="A91" t="str">
            <v>Open</v>
          </cell>
          <cell r="B91" t="str">
            <v>Puerto Rico</v>
          </cell>
          <cell r="E91">
            <v>0</v>
          </cell>
        </row>
        <row r="92">
          <cell r="A92" t="str">
            <v>Open</v>
          </cell>
          <cell r="B92" t="str">
            <v>Salt Lake City</v>
          </cell>
          <cell r="E92">
            <v>0</v>
          </cell>
        </row>
        <row r="93">
          <cell r="A93" t="str">
            <v>Open</v>
          </cell>
          <cell r="B93" t="str">
            <v>Seattle</v>
          </cell>
          <cell r="C93">
            <v>2000</v>
          </cell>
          <cell r="D93">
            <v>2000</v>
          </cell>
          <cell r="E93">
            <v>4000</v>
          </cell>
        </row>
        <row r="94">
          <cell r="A94" t="str">
            <v>Subtotal</v>
          </cell>
          <cell r="C94">
            <v>32000</v>
          </cell>
          <cell r="D94">
            <v>30000</v>
          </cell>
          <cell r="E94">
            <v>62000</v>
          </cell>
        </row>
        <row r="96">
          <cell r="A96" t="str">
            <v>Total Allocated</v>
          </cell>
          <cell r="C96">
            <v>2376000</v>
          </cell>
          <cell r="D96">
            <v>912000</v>
          </cell>
          <cell r="E96">
            <v>3288000</v>
          </cell>
        </row>
        <row r="98">
          <cell r="A98" t="str">
            <v>1999 Reserve</v>
          </cell>
          <cell r="C98">
            <v>138000</v>
          </cell>
          <cell r="D98">
            <v>30000</v>
          </cell>
          <cell r="E98">
            <v>168000</v>
          </cell>
        </row>
        <row r="99">
          <cell r="A99" t="str">
            <v>Total Plan</v>
          </cell>
          <cell r="C99">
            <v>2514000</v>
          </cell>
          <cell r="D99">
            <v>942000</v>
          </cell>
          <cell r="E99">
            <v>3456000</v>
          </cell>
        </row>
        <row r="101">
          <cell r="A101" t="str">
            <v>1998 Reserve</v>
          </cell>
          <cell r="C101">
            <v>16477</v>
          </cell>
          <cell r="D101" t="str">
            <v>Note: 28,535 stock shares available</v>
          </cell>
        </row>
        <row r="103">
          <cell r="A103" t="str">
            <v>FenwayOptionList</v>
          </cell>
          <cell r="B103" t="str">
            <v>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p Delmarva"/>
      <sheetName val="PESCO"/>
      <sheetName val="Delaware"/>
      <sheetName val="Maryland"/>
      <sheetName val="CFG"/>
      <sheetName val="Electric"/>
      <sheetName val="FPU-NG"/>
      <sheetName val="ESNG"/>
      <sheetName val="Florida propane"/>
      <sheetName val="Reg-Cust"/>
      <sheetName val="Reg-Vol"/>
      <sheetName val="Unreg-Cust"/>
      <sheetName val="Unreg-Vol"/>
      <sheetName val="Reg-Cust sum Q4 2011"/>
      <sheetName val="Utility stats Q4 2011"/>
      <sheetName val="Utility stats Dec YTD"/>
      <sheetName val="Utility stats Sep YTD "/>
      <sheetName val="Reg-Vol sum Q4 2011"/>
      <sheetName val="Reg-Cust sum Q3"/>
      <sheetName val="Reg-Vol sum Q3"/>
      <sheetName val="Utility stats Q3"/>
      <sheetName val="Sheet1"/>
    </sheetNames>
    <sheetDataSet>
      <sheetData sheetId="0"/>
      <sheetData sheetId="1"/>
      <sheetData sheetId="2">
        <row r="5">
          <cell r="B5">
            <v>38012</v>
          </cell>
          <cell r="O5">
            <v>38741</v>
          </cell>
          <cell r="U5">
            <v>37070</v>
          </cell>
          <cell r="AH5">
            <v>37923</v>
          </cell>
        </row>
        <row r="6">
          <cell r="B6">
            <v>3425</v>
          </cell>
          <cell r="O6">
            <v>3481</v>
          </cell>
          <cell r="U6">
            <v>3379</v>
          </cell>
          <cell r="AH6">
            <v>3451</v>
          </cell>
        </row>
        <row r="7">
          <cell r="B7">
            <v>61</v>
          </cell>
          <cell r="O7">
            <v>64</v>
          </cell>
          <cell r="U7">
            <v>54</v>
          </cell>
          <cell r="AH7">
            <v>61</v>
          </cell>
        </row>
        <row r="8">
          <cell r="B8">
            <v>4</v>
          </cell>
          <cell r="O8">
            <v>3</v>
          </cell>
          <cell r="U8">
            <v>5</v>
          </cell>
          <cell r="AH8">
            <v>6</v>
          </cell>
        </row>
      </sheetData>
      <sheetData sheetId="3">
        <row r="5">
          <cell r="B5">
            <v>10668</v>
          </cell>
          <cell r="O5">
            <v>10873</v>
          </cell>
          <cell r="U5">
            <v>10568</v>
          </cell>
          <cell r="AH5">
            <v>10822</v>
          </cell>
        </row>
        <row r="6">
          <cell r="B6">
            <v>1746</v>
          </cell>
          <cell r="O6">
            <v>1755</v>
          </cell>
          <cell r="U6">
            <v>1756</v>
          </cell>
          <cell r="AH6">
            <v>1781</v>
          </cell>
        </row>
        <row r="7">
          <cell r="B7">
            <v>32</v>
          </cell>
          <cell r="O7">
            <v>35</v>
          </cell>
          <cell r="U7">
            <v>31</v>
          </cell>
          <cell r="AH7">
            <v>31</v>
          </cell>
        </row>
        <row r="8">
          <cell r="B8">
            <v>0</v>
          </cell>
          <cell r="L8">
            <v>0</v>
          </cell>
          <cell r="U8">
            <v>0</v>
          </cell>
        </row>
      </sheetData>
      <sheetData sheetId="4">
        <row r="5">
          <cell r="B5">
            <v>13584</v>
          </cell>
          <cell r="O5">
            <v>13738</v>
          </cell>
          <cell r="U5">
            <v>13427</v>
          </cell>
          <cell r="AH5">
            <v>13522</v>
          </cell>
        </row>
        <row r="6">
          <cell r="B6">
            <v>1185</v>
          </cell>
          <cell r="O6">
            <v>1227</v>
          </cell>
          <cell r="U6">
            <v>1135</v>
          </cell>
          <cell r="AH6">
            <v>1169</v>
          </cell>
        </row>
        <row r="7">
          <cell r="B7">
            <v>59</v>
          </cell>
          <cell r="O7">
            <v>59</v>
          </cell>
          <cell r="U7">
            <v>59</v>
          </cell>
          <cell r="AH7">
            <v>59</v>
          </cell>
        </row>
        <row r="8">
          <cell r="B8">
            <v>0</v>
          </cell>
          <cell r="L8"/>
        </row>
      </sheetData>
      <sheetData sheetId="5">
        <row r="5">
          <cell r="B5">
            <v>23598</v>
          </cell>
          <cell r="O5">
            <v>23695</v>
          </cell>
          <cell r="U5">
            <v>23589</v>
          </cell>
          <cell r="AH5">
            <v>23578</v>
          </cell>
        </row>
        <row r="6">
          <cell r="B6">
            <v>7386</v>
          </cell>
          <cell r="O6">
            <v>7402</v>
          </cell>
          <cell r="U6">
            <v>7373</v>
          </cell>
          <cell r="AH6">
            <v>7360</v>
          </cell>
        </row>
        <row r="7">
          <cell r="B7">
            <v>2</v>
          </cell>
          <cell r="O7">
            <v>2</v>
          </cell>
          <cell r="U7">
            <v>2</v>
          </cell>
          <cell r="AH7">
            <v>2</v>
          </cell>
        </row>
        <row r="8">
          <cell r="M8"/>
          <cell r="AF8">
            <v>0</v>
          </cell>
        </row>
        <row r="9">
          <cell r="B9">
            <v>0</v>
          </cell>
          <cell r="M9"/>
          <cell r="AF9">
            <v>0</v>
          </cell>
        </row>
        <row r="10">
          <cell r="M10"/>
          <cell r="AF10">
            <v>0</v>
          </cell>
        </row>
      </sheetData>
      <sheetData sheetId="6">
        <row r="5">
          <cell r="B5">
            <v>47941</v>
          </cell>
          <cell r="O5">
            <v>48405</v>
          </cell>
        </row>
        <row r="6">
          <cell r="B6">
            <v>4531</v>
          </cell>
          <cell r="O6">
            <v>4576</v>
          </cell>
        </row>
        <row r="7">
          <cell r="B7">
            <v>686</v>
          </cell>
          <cell r="O7">
            <v>705</v>
          </cell>
        </row>
        <row r="8">
          <cell r="B8">
            <v>0</v>
          </cell>
          <cell r="O8">
            <v>0</v>
          </cell>
        </row>
        <row r="9">
          <cell r="B9">
            <v>0</v>
          </cell>
          <cell r="M9">
            <v>0</v>
          </cell>
        </row>
        <row r="43">
          <cell r="U43">
            <v>47626.400000000001</v>
          </cell>
          <cell r="AH43">
            <v>47682</v>
          </cell>
        </row>
        <row r="44">
          <cell r="U44">
            <v>4523.3999999999996</v>
          </cell>
          <cell r="AH44">
            <v>4544</v>
          </cell>
        </row>
        <row r="45">
          <cell r="U45">
            <v>597</v>
          </cell>
          <cell r="AH45">
            <v>660</v>
          </cell>
        </row>
      </sheetData>
      <sheetData sheetId="7">
        <row r="7">
          <cell r="O7"/>
        </row>
        <row r="8">
          <cell r="O8"/>
        </row>
        <row r="9">
          <cell r="O9"/>
        </row>
        <row r="10">
          <cell r="B10">
            <v>17</v>
          </cell>
          <cell r="O10">
            <v>18</v>
          </cell>
          <cell r="U10">
            <v>17</v>
          </cell>
          <cell r="AH10">
            <v>17</v>
          </cell>
        </row>
        <row r="11">
          <cell r="O11"/>
        </row>
        <row r="12">
          <cell r="B12">
            <v>-2</v>
          </cell>
          <cell r="O12">
            <v>-2</v>
          </cell>
          <cell r="U12">
            <v>-2</v>
          </cell>
          <cell r="AH12">
            <v>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Act vs Act"/>
      <sheetName val="Customers Act vs Budget"/>
      <sheetName val="Volumes Act vs Act"/>
      <sheetName val="Volumes Act vs Budget"/>
      <sheetName val="Reg-Cust"/>
      <sheetName val="Reg-Vol"/>
      <sheetName val="Unreg-Cust"/>
      <sheetName val="Unreg-Vol"/>
      <sheetName val="PESCO"/>
      <sheetName val="Sharp Delmarva"/>
      <sheetName val="Florida propane"/>
      <sheetName val="Delaware"/>
      <sheetName val="Maryland"/>
      <sheetName val="CFG"/>
      <sheetName val="FPU-NG"/>
      <sheetName val="Electric"/>
      <sheetName val="ESNG"/>
      <sheetName val="Utility stats YTD 2012"/>
      <sheetName val="Utility stats Q4"/>
      <sheetName val="Utility stats YTD Q3"/>
      <sheetName val="Utility stats Q2 "/>
      <sheetName val="Utility stats YTD Q2"/>
      <sheetName val="Utility stats Q1 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38950</v>
          </cell>
          <cell r="O5">
            <v>39873</v>
          </cell>
          <cell r="U5">
            <v>38012</v>
          </cell>
          <cell r="AH5">
            <v>38741</v>
          </cell>
        </row>
        <row r="6">
          <cell r="B6">
            <v>3472</v>
          </cell>
          <cell r="O6">
            <v>3554</v>
          </cell>
          <cell r="U6">
            <v>3425</v>
          </cell>
          <cell r="AH6">
            <v>3481</v>
          </cell>
        </row>
        <row r="7">
          <cell r="B7">
            <v>65</v>
          </cell>
          <cell r="O7">
            <v>64</v>
          </cell>
          <cell r="U7">
            <v>61</v>
          </cell>
          <cell r="AH7">
            <v>64</v>
          </cell>
        </row>
        <row r="8">
          <cell r="B8">
            <v>5</v>
          </cell>
          <cell r="O8">
            <v>4</v>
          </cell>
          <cell r="U8">
            <v>4</v>
          </cell>
          <cell r="AH8">
            <v>3</v>
          </cell>
        </row>
      </sheetData>
      <sheetData sheetId="12">
        <row r="5">
          <cell r="B5">
            <v>10689</v>
          </cell>
          <cell r="O5">
            <v>10907</v>
          </cell>
          <cell r="U5">
            <v>10668</v>
          </cell>
          <cell r="AH5">
            <v>10873</v>
          </cell>
        </row>
        <row r="6">
          <cell r="B6">
            <v>1740</v>
          </cell>
          <cell r="O6">
            <v>1780</v>
          </cell>
          <cell r="U6">
            <v>1746</v>
          </cell>
          <cell r="AH6">
            <v>1755</v>
          </cell>
        </row>
        <row r="7">
          <cell r="B7">
            <v>38</v>
          </cell>
          <cell r="O7">
            <v>36</v>
          </cell>
          <cell r="U7">
            <v>32</v>
          </cell>
          <cell r="AH7">
            <v>35</v>
          </cell>
        </row>
        <row r="8">
          <cell r="B8">
            <v>0</v>
          </cell>
          <cell r="U8">
            <v>0</v>
          </cell>
          <cell r="AD8">
            <v>0</v>
          </cell>
        </row>
      </sheetData>
      <sheetData sheetId="13">
        <row r="5">
          <cell r="B5">
            <v>13783</v>
          </cell>
          <cell r="O5">
            <v>13888</v>
          </cell>
          <cell r="U5">
            <v>13584</v>
          </cell>
          <cell r="AH5">
            <v>13738</v>
          </cell>
        </row>
        <row r="6">
          <cell r="B6">
            <v>1253</v>
          </cell>
          <cell r="O6">
            <v>1273</v>
          </cell>
          <cell r="U6">
            <v>1185</v>
          </cell>
          <cell r="AH6">
            <v>1227</v>
          </cell>
        </row>
        <row r="7">
          <cell r="B7">
            <v>56</v>
          </cell>
          <cell r="O7">
            <v>62</v>
          </cell>
          <cell r="U7">
            <v>59</v>
          </cell>
          <cell r="AH7">
            <v>59</v>
          </cell>
        </row>
        <row r="8">
          <cell r="B8">
            <v>0</v>
          </cell>
          <cell r="K8"/>
          <cell r="AH8">
            <v>0</v>
          </cell>
        </row>
      </sheetData>
      <sheetData sheetId="14">
        <row r="5">
          <cell r="B5">
            <v>48603</v>
          </cell>
          <cell r="O5">
            <v>48879</v>
          </cell>
          <cell r="AH5">
            <v>48405</v>
          </cell>
        </row>
        <row r="6">
          <cell r="B6">
            <v>4528</v>
          </cell>
          <cell r="O6">
            <v>4532</v>
          </cell>
          <cell r="AH6">
            <v>4576</v>
          </cell>
        </row>
        <row r="7">
          <cell r="B7">
            <v>833</v>
          </cell>
          <cell r="O7">
            <v>895</v>
          </cell>
          <cell r="AH7">
            <v>705</v>
          </cell>
        </row>
        <row r="8">
          <cell r="B8">
            <v>0</v>
          </cell>
          <cell r="N8">
            <v>0</v>
          </cell>
        </row>
        <row r="39">
          <cell r="U39">
            <v>47941</v>
          </cell>
        </row>
        <row r="40">
          <cell r="U40">
            <v>4531</v>
          </cell>
        </row>
        <row r="41">
          <cell r="U41">
            <v>686</v>
          </cell>
        </row>
        <row r="42">
          <cell r="U42"/>
          <cell r="AH42"/>
        </row>
      </sheetData>
      <sheetData sheetId="15">
        <row r="5">
          <cell r="B5">
            <v>23670</v>
          </cell>
          <cell r="O5">
            <v>23646</v>
          </cell>
          <cell r="U5">
            <v>23598</v>
          </cell>
          <cell r="AH5">
            <v>23695</v>
          </cell>
        </row>
        <row r="6">
          <cell r="B6">
            <v>7394</v>
          </cell>
          <cell r="O6">
            <v>7401</v>
          </cell>
          <cell r="U6">
            <v>7386</v>
          </cell>
          <cell r="AH6">
            <v>7402</v>
          </cell>
        </row>
        <row r="7">
          <cell r="B7">
            <v>2</v>
          </cell>
          <cell r="O7">
            <v>2</v>
          </cell>
          <cell r="U7">
            <v>2</v>
          </cell>
          <cell r="AH7">
            <v>2</v>
          </cell>
        </row>
        <row r="8">
          <cell r="B8">
            <v>0</v>
          </cell>
          <cell r="K8">
            <v>0</v>
          </cell>
          <cell r="U8">
            <v>0</v>
          </cell>
          <cell r="Y8">
            <v>0</v>
          </cell>
        </row>
      </sheetData>
      <sheetData sheetId="16">
        <row r="8">
          <cell r="B8">
            <v>17</v>
          </cell>
          <cell r="O8">
            <v>17</v>
          </cell>
          <cell r="U8">
            <v>17</v>
          </cell>
          <cell r="AH8">
            <v>18</v>
          </cell>
        </row>
        <row r="9">
          <cell r="B9">
            <v>-2</v>
          </cell>
          <cell r="O9">
            <v>-2</v>
          </cell>
          <cell r="U9">
            <v>-2</v>
          </cell>
          <cell r="AH9">
            <v>-2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Act vs Act"/>
      <sheetName val="Customers Act vs Budget"/>
      <sheetName val="Volumes Act vs Act"/>
      <sheetName val="Volumes Act vs Budget"/>
      <sheetName val="Reg-Cust"/>
      <sheetName val="Reg-Vol"/>
      <sheetName val="Unreg-Cust"/>
      <sheetName val="Unreg-Vol"/>
      <sheetName val="PESCO"/>
      <sheetName val="Sharp Delmarva"/>
      <sheetName val="Florida propane"/>
      <sheetName val="Delaware"/>
      <sheetName val="Maryland"/>
      <sheetName val="Worcester County"/>
      <sheetName val="CFG"/>
      <sheetName val="FPU-NG"/>
      <sheetName val="Electric"/>
      <sheetName val="ESNG"/>
      <sheetName val="Utility stats Q4 YTD 2013"/>
      <sheetName val="Utility stats Q4 2013 "/>
      <sheetName val="Utility stats Q3 YTD 2013"/>
      <sheetName val="Utility stats Q3 2013"/>
      <sheetName val="Utility stats Q2 YTD 2013 "/>
      <sheetName val="Utility stats Q2 2013 "/>
      <sheetName val="Utility stats Q1 2013 "/>
      <sheetName val="Utility stats YTD 2012"/>
      <sheetName val="Utility stats Q4"/>
      <sheetName val="Utility stats YTD Q3"/>
      <sheetName val="Utility stats Q2 "/>
      <sheetName val="Utility stats YTD Q2"/>
      <sheetName val="Utility stats Q1 201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80059</v>
          </cell>
          <cell r="O5">
            <v>41078</v>
          </cell>
          <cell r="U5">
            <v>38954</v>
          </cell>
          <cell r="AH5">
            <v>0</v>
          </cell>
        </row>
        <row r="6">
          <cell r="B6">
            <v>7148</v>
          </cell>
          <cell r="O6">
            <v>3685</v>
          </cell>
          <cell r="U6">
            <v>3502</v>
          </cell>
          <cell r="AH6">
            <v>0</v>
          </cell>
        </row>
        <row r="7">
          <cell r="B7">
            <v>135</v>
          </cell>
          <cell r="O7">
            <v>69</v>
          </cell>
          <cell r="U7">
            <v>66</v>
          </cell>
          <cell r="AH7">
            <v>0</v>
          </cell>
        </row>
        <row r="8">
          <cell r="B8">
            <v>11</v>
          </cell>
          <cell r="O8">
            <v>7</v>
          </cell>
          <cell r="U8">
            <v>4</v>
          </cell>
          <cell r="AH8">
            <v>0</v>
          </cell>
        </row>
      </sheetData>
      <sheetData sheetId="12">
        <row r="5">
          <cell r="B5">
            <v>10806</v>
          </cell>
          <cell r="O5">
            <v>11078</v>
          </cell>
          <cell r="U5">
            <v>10689</v>
          </cell>
          <cell r="AH5">
            <v>10907</v>
          </cell>
        </row>
        <row r="6">
          <cell r="B6">
            <v>1774</v>
          </cell>
          <cell r="O6">
            <v>1805</v>
          </cell>
          <cell r="U6">
            <v>1740</v>
          </cell>
          <cell r="AH6">
            <v>1780</v>
          </cell>
        </row>
        <row r="7">
          <cell r="B7">
            <v>35</v>
          </cell>
          <cell r="O7">
            <v>35</v>
          </cell>
          <cell r="U7">
            <v>36</v>
          </cell>
          <cell r="AH7">
            <v>36</v>
          </cell>
        </row>
        <row r="8">
          <cell r="B8">
            <v>0</v>
          </cell>
          <cell r="O8">
            <v>0</v>
          </cell>
          <cell r="U8">
            <v>0</v>
          </cell>
          <cell r="AH8">
            <v>0</v>
          </cell>
        </row>
      </sheetData>
      <sheetData sheetId="13">
        <row r="5">
          <cell r="B5">
            <v>9849</v>
          </cell>
          <cell r="O5">
            <v>9893</v>
          </cell>
        </row>
        <row r="6">
          <cell r="B6">
            <v>1096</v>
          </cell>
          <cell r="O6">
            <v>1072</v>
          </cell>
        </row>
        <row r="7">
          <cell r="B7">
            <v>7</v>
          </cell>
          <cell r="O7">
            <v>3</v>
          </cell>
        </row>
        <row r="8">
          <cell r="B8">
            <v>0</v>
          </cell>
          <cell r="O8">
            <v>0</v>
          </cell>
        </row>
      </sheetData>
      <sheetData sheetId="14">
        <row r="5">
          <cell r="B5">
            <v>13970</v>
          </cell>
          <cell r="O5">
            <v>14127</v>
          </cell>
          <cell r="U5">
            <v>13783</v>
          </cell>
          <cell r="AH5">
            <v>13888</v>
          </cell>
        </row>
        <row r="6">
          <cell r="B6">
            <v>1299</v>
          </cell>
          <cell r="O6">
            <v>1334</v>
          </cell>
          <cell r="U6">
            <v>1252</v>
          </cell>
          <cell r="AH6">
            <v>1273</v>
          </cell>
        </row>
        <row r="7">
          <cell r="B7">
            <v>58</v>
          </cell>
          <cell r="O7">
            <v>58</v>
          </cell>
          <cell r="U7">
            <v>55</v>
          </cell>
          <cell r="AH7">
            <v>62</v>
          </cell>
        </row>
        <row r="8">
          <cell r="B8">
            <v>0</v>
          </cell>
          <cell r="O8"/>
          <cell r="AH8">
            <v>0</v>
          </cell>
        </row>
      </sheetData>
      <sheetData sheetId="15">
        <row r="5">
          <cell r="B5">
            <v>50086</v>
          </cell>
          <cell r="O5">
            <v>49580</v>
          </cell>
          <cell r="AH5">
            <v>48879</v>
          </cell>
        </row>
        <row r="6">
          <cell r="B6">
            <v>4605</v>
          </cell>
          <cell r="O6">
            <v>4592</v>
          </cell>
          <cell r="AH6">
            <v>4532</v>
          </cell>
        </row>
        <row r="7">
          <cell r="B7">
            <v>947</v>
          </cell>
          <cell r="O7">
            <v>1011</v>
          </cell>
          <cell r="AH7">
            <v>895</v>
          </cell>
        </row>
        <row r="8">
          <cell r="B8">
            <v>0</v>
          </cell>
          <cell r="O8">
            <v>0</v>
          </cell>
          <cell r="AH8"/>
        </row>
        <row r="39">
          <cell r="U39">
            <v>48603</v>
          </cell>
        </row>
        <row r="40">
          <cell r="U40">
            <v>4528</v>
          </cell>
        </row>
        <row r="41">
          <cell r="U41">
            <v>834</v>
          </cell>
        </row>
        <row r="42">
          <cell r="U42">
            <v>0</v>
          </cell>
        </row>
      </sheetData>
      <sheetData sheetId="16">
        <row r="5">
          <cell r="B5">
            <v>23742</v>
          </cell>
          <cell r="O5">
            <v>23695</v>
          </cell>
          <cell r="U5">
            <v>23670</v>
          </cell>
          <cell r="AH5">
            <v>23646</v>
          </cell>
        </row>
        <row r="6">
          <cell r="B6">
            <v>7407</v>
          </cell>
          <cell r="O6">
            <v>7405</v>
          </cell>
          <cell r="U6">
            <v>7394</v>
          </cell>
          <cell r="AH6">
            <v>7401</v>
          </cell>
        </row>
        <row r="7">
          <cell r="B7">
            <v>2</v>
          </cell>
          <cell r="O7">
            <v>2</v>
          </cell>
          <cell r="U7">
            <v>2</v>
          </cell>
          <cell r="AH7">
            <v>2</v>
          </cell>
        </row>
        <row r="8">
          <cell r="B8">
            <v>0</v>
          </cell>
          <cell r="O8">
            <v>0</v>
          </cell>
          <cell r="U8">
            <v>0</v>
          </cell>
          <cell r="AH8">
            <v>0</v>
          </cell>
        </row>
      </sheetData>
      <sheetData sheetId="17">
        <row r="8">
          <cell r="B8">
            <v>18</v>
          </cell>
          <cell r="O8">
            <v>20</v>
          </cell>
          <cell r="U8">
            <v>17</v>
          </cell>
          <cell r="AH8">
            <v>17</v>
          </cell>
        </row>
        <row r="9">
          <cell r="B9">
            <v>-2</v>
          </cell>
          <cell r="O9">
            <v>-2</v>
          </cell>
          <cell r="U9">
            <v>-2</v>
          </cell>
          <cell r="AH9">
            <v>-2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CFG"/>
      <sheetName val="Maryland"/>
      <sheetName val="WorcesterCounty"/>
      <sheetName val="PESCO"/>
      <sheetName val="SharpDelmarva"/>
      <sheetName val="Floridapropane"/>
      <sheetName val="FPUNG"/>
      <sheetName val="Electric"/>
      <sheetName val="ESNG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7">
          <cell r="B7" t="str">
            <v>For the Twelve Months ended December 31, 2014 and 2013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2014 and 2013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2014</v>
          </cell>
          <cell r="J14" t="str">
            <v>Actual customers for the Month of January 2013</v>
          </cell>
          <cell r="K14" t="str">
            <v>Average customers for the One Month ended January 31, 2014</v>
          </cell>
          <cell r="L14" t="str">
            <v>Average customers for the One Month ended January 31, 2013</v>
          </cell>
          <cell r="M14" t="str">
            <v>Volume for the Month of January 2014</v>
          </cell>
          <cell r="N14" t="str">
            <v>Volume for the Month of January 2013</v>
          </cell>
          <cell r="O14" t="str">
            <v>Volume for the One Month ended January 31, 2014</v>
          </cell>
          <cell r="P14" t="str">
            <v>Volume for the One Month ended January 31, 2013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2014 and 2013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2014</v>
          </cell>
          <cell r="J15" t="str">
            <v>Actual customers for the Month of February 2013</v>
          </cell>
          <cell r="K15" t="str">
            <v>Average customers for the Two Months ended February 28, 2014</v>
          </cell>
          <cell r="L15" t="str">
            <v>Average customers for the Two Months ended February 28, 2013</v>
          </cell>
          <cell r="M15" t="str">
            <v>Volume for the Month of February 2014</v>
          </cell>
          <cell r="N15" t="str">
            <v>Volume for the Month of February 2013</v>
          </cell>
          <cell r="O15" t="str">
            <v>Volume for the Two Months ended February 28, 2014</v>
          </cell>
          <cell r="P15" t="str">
            <v>Volume for the Two Months ended February 28, 2013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2014 and 2013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2014</v>
          </cell>
          <cell r="J16" t="str">
            <v>Actual customers for the Month of March 2013</v>
          </cell>
          <cell r="K16" t="str">
            <v>Average customers for the Three Months ended March 31, 2014</v>
          </cell>
          <cell r="L16" t="str">
            <v>Average customers for the Three Months ended March 31, 2013</v>
          </cell>
          <cell r="M16" t="str">
            <v>Volume for the Month of March 2014</v>
          </cell>
          <cell r="N16" t="str">
            <v>Volume for the Month of March 2013</v>
          </cell>
          <cell r="O16" t="str">
            <v>Volume for the Three Months ended March 31, 2014</v>
          </cell>
          <cell r="P16" t="str">
            <v>Volume for the Three Months ended March 31, 2013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2014 and 2013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2014</v>
          </cell>
          <cell r="J17" t="str">
            <v>Actual customers for the Month of April 2013</v>
          </cell>
          <cell r="K17" t="str">
            <v>Average customers for the Four Months ended April 30, 2014</v>
          </cell>
          <cell r="L17" t="str">
            <v>Average customers for the Four Months ended April 30, 2013</v>
          </cell>
          <cell r="M17" t="str">
            <v>Volume for the Month of April 2014</v>
          </cell>
          <cell r="N17" t="str">
            <v>Volume for the Month of April 2013</v>
          </cell>
          <cell r="O17" t="str">
            <v>Volume for the Four Months ended April 30, 2014</v>
          </cell>
          <cell r="P17" t="str">
            <v>Volume for the Four Months ended April 30, 2013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2014 and 2013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2014</v>
          </cell>
          <cell r="J18" t="str">
            <v>Actual customers for the Month of May 2013</v>
          </cell>
          <cell r="K18" t="str">
            <v>Average customers for the Five Months ended May 31, 2014</v>
          </cell>
          <cell r="L18" t="str">
            <v>Average customers for the Five Months ended May 31, 2013</v>
          </cell>
          <cell r="M18" t="str">
            <v>Volume for the Month of May 2014</v>
          </cell>
          <cell r="N18" t="str">
            <v>Volume for the Month of May 2013</v>
          </cell>
          <cell r="O18" t="str">
            <v>Volume for the Five Months ended May 31, 2014</v>
          </cell>
          <cell r="P18" t="str">
            <v>Volume for the Five Months ended May 31, 2013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2014 and 2013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2014</v>
          </cell>
          <cell r="J19" t="str">
            <v>Actual customers for the Month of June 2013</v>
          </cell>
          <cell r="K19" t="str">
            <v>Average customers for the Six Months ended June 30, 2014</v>
          </cell>
          <cell r="L19" t="str">
            <v>Average customers for the Six Months ended June 30, 2013</v>
          </cell>
          <cell r="M19" t="str">
            <v>Volume for the Month of June 2014</v>
          </cell>
          <cell r="N19" t="str">
            <v>Volume for the Month of June 2013</v>
          </cell>
          <cell r="O19" t="str">
            <v>Volume for the Six Months ended June 30, 2014</v>
          </cell>
          <cell r="P19" t="str">
            <v>Volume for the Six Months ended June 30, 2013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2014 and 2013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2014</v>
          </cell>
          <cell r="J20" t="str">
            <v>Actual customers for the Month of July 2013</v>
          </cell>
          <cell r="K20" t="str">
            <v>Average customers for the Seven Months ended July 31, 2014</v>
          </cell>
          <cell r="L20" t="str">
            <v>Average customers for the Seven Months ended July 31, 2013</v>
          </cell>
          <cell r="M20" t="str">
            <v>Volume for the Month of July 2014</v>
          </cell>
          <cell r="N20" t="str">
            <v>Volume for the Month of July 2013</v>
          </cell>
          <cell r="O20" t="str">
            <v>Volume for the Seven Months ended July 31, 2014</v>
          </cell>
          <cell r="P20" t="str">
            <v>Volume for the Seven Months ended July 31, 2013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2014 and 2013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2014</v>
          </cell>
          <cell r="J21" t="str">
            <v>Actual customers for the Month of August 2013</v>
          </cell>
          <cell r="K21" t="str">
            <v>Average customers for the Eight Months ended August 31, 2014</v>
          </cell>
          <cell r="L21" t="str">
            <v>Average customers for the Eight Months ended August 31, 2013</v>
          </cell>
          <cell r="M21" t="str">
            <v>Volume for the Month of August 2014</v>
          </cell>
          <cell r="N21" t="str">
            <v>Volume for the Month of August 2013</v>
          </cell>
          <cell r="O21" t="str">
            <v>Volume for the Eight Months ended August 31, 2014</v>
          </cell>
          <cell r="P21" t="str">
            <v>Volume for the Eight Months ended August 31, 2013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2014 and 2013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2014</v>
          </cell>
          <cell r="J22" t="str">
            <v>Actual customers for the Month of September 2013</v>
          </cell>
          <cell r="K22" t="str">
            <v>Average customers for the Nine Months ended September 30, 2014</v>
          </cell>
          <cell r="L22" t="str">
            <v>Average customers for the Nine Months ended September 30, 2013</v>
          </cell>
          <cell r="M22" t="str">
            <v>Volume for the Month of September 2014</v>
          </cell>
          <cell r="N22" t="str">
            <v>Volume for the Month of September 2013</v>
          </cell>
          <cell r="O22" t="str">
            <v>Volume for the Nine Months ended September 30, 2014</v>
          </cell>
          <cell r="P22" t="str">
            <v>Volume for the Nine Months ended September 30, 2013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2014 and 2013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2014</v>
          </cell>
          <cell r="J23" t="str">
            <v>Actual customers for the Month of October 2013</v>
          </cell>
          <cell r="K23" t="str">
            <v>Average customers for the Ten Months ended October 31, 2014</v>
          </cell>
          <cell r="L23" t="str">
            <v>Average customers for the Ten Months ended October 31, 2013</v>
          </cell>
          <cell r="M23" t="str">
            <v>Volume for the Month of October 2014</v>
          </cell>
          <cell r="N23" t="str">
            <v>Volume for the Month of October 2013</v>
          </cell>
          <cell r="O23" t="str">
            <v>Volume for the Ten Months ended October 31, 2014</v>
          </cell>
          <cell r="P23" t="str">
            <v>Volume for the Ten Months ended October 31, 2013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2014 and 2013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2014</v>
          </cell>
          <cell r="J24" t="str">
            <v>Actual customers for the Month of November 2013</v>
          </cell>
          <cell r="K24" t="str">
            <v>Average customers for the Eleven Months ended November 30, 2014</v>
          </cell>
          <cell r="L24" t="str">
            <v>Average customers for the Eleven Months ended November 30, 2013</v>
          </cell>
          <cell r="M24" t="str">
            <v>Volume for the Month of November 2014</v>
          </cell>
          <cell r="N24" t="str">
            <v>Volume for the Month of November 2013</v>
          </cell>
          <cell r="O24" t="str">
            <v>Volume for the Eleven Months ended November 30, 2014</v>
          </cell>
          <cell r="P24" t="str">
            <v>Volume for the Eleven Months ended November 30, 2013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2014 and 2013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2014</v>
          </cell>
          <cell r="J25" t="str">
            <v>Actual customers for the Month of December 2013</v>
          </cell>
          <cell r="K25" t="str">
            <v>Average customers for the Twelve Months ended December 31, 2014</v>
          </cell>
          <cell r="L25" t="str">
            <v>Average customers for the Twelve Months ended December 31, 2013</v>
          </cell>
          <cell r="M25" t="str">
            <v>Volume for the Month of December 2014</v>
          </cell>
          <cell r="N25" t="str">
            <v>Volume for the Month of December 2013</v>
          </cell>
          <cell r="O25" t="str">
            <v>Volume for the Twelve Months ended December 31, 2014</v>
          </cell>
          <cell r="P25" t="str">
            <v>Volume for the Twelve Months ended December 31,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41465.333333333336</v>
          </cell>
          <cell r="E5">
            <v>41387</v>
          </cell>
          <cell r="F5">
            <v>41536</v>
          </cell>
          <cell r="G5">
            <v>41693</v>
          </cell>
          <cell r="H5">
            <v>41669</v>
          </cell>
          <cell r="I5">
            <v>41119</v>
          </cell>
          <cell r="J5">
            <v>41046</v>
          </cell>
          <cell r="K5">
            <v>40859</v>
          </cell>
          <cell r="L5">
            <v>40868</v>
          </cell>
          <cell r="M5">
            <v>41106</v>
          </cell>
          <cell r="N5">
            <v>41409</v>
          </cell>
          <cell r="O5">
            <v>42091</v>
          </cell>
          <cell r="P5">
            <v>42801</v>
          </cell>
          <cell r="T5">
            <v>2</v>
          </cell>
          <cell r="U5" t="str">
            <v>Residential</v>
          </cell>
          <cell r="V5">
            <v>40030</v>
          </cell>
          <cell r="W5">
            <v>480355</v>
          </cell>
          <cell r="X5">
            <v>40104</v>
          </cell>
          <cell r="Y5">
            <v>40185</v>
          </cell>
          <cell r="Z5">
            <v>40307</v>
          </cell>
          <cell r="AA5">
            <v>40310</v>
          </cell>
          <cell r="AB5">
            <v>39965</v>
          </cell>
          <cell r="AC5">
            <v>39458</v>
          </cell>
          <cell r="AD5">
            <v>39497</v>
          </cell>
          <cell r="AE5">
            <v>39432</v>
          </cell>
          <cell r="AF5">
            <v>39643</v>
          </cell>
          <cell r="AG5">
            <v>39927</v>
          </cell>
          <cell r="AH5">
            <v>40449</v>
          </cell>
          <cell r="AI5">
            <v>41078</v>
          </cell>
        </row>
        <row r="6">
          <cell r="A6">
            <v>3</v>
          </cell>
          <cell r="B6" t="str">
            <v>Commercial</v>
          </cell>
          <cell r="C6"/>
          <cell r="D6">
            <v>3663.1666666666665</v>
          </cell>
          <cell r="E6">
            <v>3693</v>
          </cell>
          <cell r="F6">
            <v>3729</v>
          </cell>
          <cell r="G6">
            <v>3736</v>
          </cell>
          <cell r="H6">
            <v>3723</v>
          </cell>
          <cell r="I6">
            <v>3659</v>
          </cell>
          <cell r="J6">
            <v>3617</v>
          </cell>
          <cell r="K6">
            <v>3602</v>
          </cell>
          <cell r="L6">
            <v>3593</v>
          </cell>
          <cell r="M6">
            <v>3589</v>
          </cell>
          <cell r="N6">
            <v>3600</v>
          </cell>
          <cell r="O6">
            <v>3660</v>
          </cell>
          <cell r="P6">
            <v>3757</v>
          </cell>
          <cell r="T6">
            <v>3</v>
          </cell>
          <cell r="U6" t="str">
            <v>Commercial</v>
          </cell>
          <cell r="V6">
            <v>3574</v>
          </cell>
          <cell r="W6">
            <v>42883</v>
          </cell>
          <cell r="X6">
            <v>3583</v>
          </cell>
          <cell r="Y6">
            <v>3605</v>
          </cell>
          <cell r="Z6">
            <v>3629</v>
          </cell>
          <cell r="AA6">
            <v>3620</v>
          </cell>
          <cell r="AB6">
            <v>3570</v>
          </cell>
          <cell r="AC6">
            <v>3537</v>
          </cell>
          <cell r="AD6">
            <v>3524</v>
          </cell>
          <cell r="AE6">
            <v>3516</v>
          </cell>
          <cell r="AF6">
            <v>3522</v>
          </cell>
          <cell r="AG6">
            <v>3506</v>
          </cell>
          <cell r="AH6">
            <v>3586</v>
          </cell>
          <cell r="AI6">
            <v>3685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70.75</v>
          </cell>
          <cell r="E7">
            <v>70</v>
          </cell>
          <cell r="F7">
            <v>70</v>
          </cell>
          <cell r="G7">
            <v>70</v>
          </cell>
          <cell r="H7">
            <v>68</v>
          </cell>
          <cell r="I7">
            <v>69</v>
          </cell>
          <cell r="J7">
            <v>69</v>
          </cell>
          <cell r="K7">
            <v>69</v>
          </cell>
          <cell r="L7">
            <v>70</v>
          </cell>
          <cell r="M7">
            <v>71</v>
          </cell>
          <cell r="N7">
            <v>74</v>
          </cell>
          <cell r="O7">
            <v>74</v>
          </cell>
          <cell r="P7">
            <v>75</v>
          </cell>
          <cell r="T7">
            <v>4</v>
          </cell>
          <cell r="U7" t="str">
            <v xml:space="preserve">Industrial </v>
          </cell>
          <cell r="V7">
            <v>68</v>
          </cell>
          <cell r="W7">
            <v>811</v>
          </cell>
          <cell r="X7">
            <v>65</v>
          </cell>
          <cell r="Y7">
            <v>65</v>
          </cell>
          <cell r="Z7">
            <v>65</v>
          </cell>
          <cell r="AA7">
            <v>66</v>
          </cell>
          <cell r="AB7">
            <v>68</v>
          </cell>
          <cell r="AC7">
            <v>67</v>
          </cell>
          <cell r="AD7">
            <v>67</v>
          </cell>
          <cell r="AE7">
            <v>69</v>
          </cell>
          <cell r="AF7">
            <v>70</v>
          </cell>
          <cell r="AG7">
            <v>70</v>
          </cell>
          <cell r="AH7">
            <v>70</v>
          </cell>
          <cell r="AI7">
            <v>69</v>
          </cell>
        </row>
        <row r="8">
          <cell r="A8">
            <v>5</v>
          </cell>
          <cell r="B8" t="str">
            <v>Other</v>
          </cell>
          <cell r="C8"/>
          <cell r="D8">
            <v>7.083333333333333</v>
          </cell>
          <cell r="E8">
            <v>7</v>
          </cell>
          <cell r="F8">
            <v>6</v>
          </cell>
          <cell r="G8">
            <v>7</v>
          </cell>
          <cell r="H8">
            <v>7</v>
          </cell>
          <cell r="I8">
            <v>6</v>
          </cell>
          <cell r="J8">
            <v>7</v>
          </cell>
          <cell r="K8">
            <v>6</v>
          </cell>
          <cell r="L8">
            <v>7</v>
          </cell>
          <cell r="M8">
            <v>8</v>
          </cell>
          <cell r="N8">
            <v>11</v>
          </cell>
          <cell r="O8">
            <v>6</v>
          </cell>
          <cell r="P8">
            <v>7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64</v>
          </cell>
          <cell r="X8">
            <v>1</v>
          </cell>
          <cell r="Y8">
            <v>3</v>
          </cell>
          <cell r="Z8">
            <v>7</v>
          </cell>
          <cell r="AA8">
            <v>4</v>
          </cell>
          <cell r="AB8">
            <v>6</v>
          </cell>
          <cell r="AC8">
            <v>7</v>
          </cell>
          <cell r="AD8">
            <v>5</v>
          </cell>
          <cell r="AE8">
            <v>6</v>
          </cell>
          <cell r="AF8">
            <v>6</v>
          </cell>
          <cell r="AG8">
            <v>5</v>
          </cell>
          <cell r="AH8">
            <v>7</v>
          </cell>
          <cell r="AI8">
            <v>7</v>
          </cell>
        </row>
        <row r="9">
          <cell r="A9">
            <v>6</v>
          </cell>
          <cell r="B9" t="str">
            <v>Total customers</v>
          </cell>
          <cell r="C9"/>
          <cell r="D9">
            <v>45206.333333333336</v>
          </cell>
          <cell r="E9">
            <v>45157</v>
          </cell>
          <cell r="F9">
            <v>45341</v>
          </cell>
          <cell r="G9">
            <v>45506</v>
          </cell>
          <cell r="H9">
            <v>45467</v>
          </cell>
          <cell r="I9">
            <v>44853</v>
          </cell>
          <cell r="J9">
            <v>44739</v>
          </cell>
          <cell r="K9">
            <v>44536</v>
          </cell>
          <cell r="L9">
            <v>44538</v>
          </cell>
          <cell r="M9">
            <v>44774</v>
          </cell>
          <cell r="N9">
            <v>45094</v>
          </cell>
          <cell r="O9">
            <v>45831</v>
          </cell>
          <cell r="P9">
            <v>46640</v>
          </cell>
          <cell r="T9">
            <v>6</v>
          </cell>
          <cell r="U9" t="str">
            <v>Total customers</v>
          </cell>
          <cell r="V9">
            <v>43677</v>
          </cell>
          <cell r="W9">
            <v>524113</v>
          </cell>
          <cell r="X9">
            <v>43753</v>
          </cell>
          <cell r="Y9">
            <v>43858</v>
          </cell>
          <cell r="Z9">
            <v>44008</v>
          </cell>
          <cell r="AA9">
            <v>44000</v>
          </cell>
          <cell r="AB9">
            <v>43609</v>
          </cell>
          <cell r="AC9">
            <v>43069</v>
          </cell>
          <cell r="AD9">
            <v>43093</v>
          </cell>
          <cell r="AE9">
            <v>43023</v>
          </cell>
          <cell r="AF9">
            <v>43241</v>
          </cell>
          <cell r="AG9">
            <v>43508</v>
          </cell>
          <cell r="AH9">
            <v>44112</v>
          </cell>
          <cell r="AI9">
            <v>44839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2696882</v>
          </cell>
          <cell r="E12">
            <v>494520</v>
          </cell>
          <cell r="F12">
            <v>583734</v>
          </cell>
          <cell r="G12">
            <v>466076</v>
          </cell>
          <cell r="H12">
            <v>276146</v>
          </cell>
          <cell r="I12">
            <v>123421</v>
          </cell>
          <cell r="J12">
            <v>48859</v>
          </cell>
          <cell r="K12">
            <v>40996</v>
          </cell>
          <cell r="L12">
            <v>39492</v>
          </cell>
          <cell r="M12">
            <v>38628</v>
          </cell>
          <cell r="N12">
            <v>54030</v>
          </cell>
          <cell r="O12">
            <v>174063</v>
          </cell>
          <cell r="P12">
            <v>356917</v>
          </cell>
          <cell r="T12">
            <v>9</v>
          </cell>
          <cell r="U12" t="str">
            <v>Residential</v>
          </cell>
          <cell r="W12">
            <v>2426256</v>
          </cell>
          <cell r="X12">
            <v>416610</v>
          </cell>
          <cell r="Y12">
            <v>480678</v>
          </cell>
          <cell r="Z12">
            <v>412335</v>
          </cell>
          <cell r="AA12">
            <v>266088</v>
          </cell>
          <cell r="AB12">
            <v>103937</v>
          </cell>
          <cell r="AC12">
            <v>54721</v>
          </cell>
          <cell r="AD12">
            <v>38195</v>
          </cell>
          <cell r="AE12">
            <v>39151</v>
          </cell>
          <cell r="AF12">
            <v>39105</v>
          </cell>
          <cell r="AG12">
            <v>52285</v>
          </cell>
          <cell r="AH12">
            <v>168300</v>
          </cell>
          <cell r="AI12">
            <v>354851</v>
          </cell>
        </row>
        <row r="13">
          <cell r="A13">
            <v>10</v>
          </cell>
          <cell r="B13" t="str">
            <v>Commercial</v>
          </cell>
          <cell r="D13">
            <v>2303858</v>
          </cell>
          <cell r="E13">
            <v>364839</v>
          </cell>
          <cell r="F13">
            <v>384375</v>
          </cell>
          <cell r="G13">
            <v>338945</v>
          </cell>
          <cell r="H13">
            <v>205247</v>
          </cell>
          <cell r="I13">
            <v>124355</v>
          </cell>
          <cell r="J13">
            <v>83125</v>
          </cell>
          <cell r="K13">
            <v>80726</v>
          </cell>
          <cell r="L13">
            <v>73110</v>
          </cell>
          <cell r="M13">
            <v>77144</v>
          </cell>
          <cell r="N13">
            <v>103760</v>
          </cell>
          <cell r="O13">
            <v>175527</v>
          </cell>
          <cell r="P13">
            <v>292705</v>
          </cell>
          <cell r="T13">
            <v>10</v>
          </cell>
          <cell r="U13" t="str">
            <v>Commercial</v>
          </cell>
          <cell r="W13">
            <v>2190271</v>
          </cell>
          <cell r="X13">
            <v>333277</v>
          </cell>
          <cell r="Y13">
            <v>340950</v>
          </cell>
          <cell r="Z13">
            <v>305087</v>
          </cell>
          <cell r="AA13">
            <v>193838</v>
          </cell>
          <cell r="AB13">
            <v>121611</v>
          </cell>
          <cell r="AC13">
            <v>77918</v>
          </cell>
          <cell r="AD13">
            <v>74503</v>
          </cell>
          <cell r="AE13">
            <v>78930</v>
          </cell>
          <cell r="AF13">
            <v>77875</v>
          </cell>
          <cell r="AG13">
            <v>108981</v>
          </cell>
          <cell r="AH13">
            <v>167120</v>
          </cell>
          <cell r="AI13">
            <v>310181</v>
          </cell>
        </row>
        <row r="14">
          <cell r="A14">
            <v>11</v>
          </cell>
          <cell r="B14" t="str">
            <v xml:space="preserve">Industrial </v>
          </cell>
          <cell r="D14">
            <v>2750438</v>
          </cell>
          <cell r="E14">
            <v>257076</v>
          </cell>
          <cell r="F14">
            <v>254807</v>
          </cell>
          <cell r="G14">
            <v>256571</v>
          </cell>
          <cell r="H14">
            <v>229232</v>
          </cell>
          <cell r="I14">
            <v>203768</v>
          </cell>
          <cell r="J14">
            <v>186229</v>
          </cell>
          <cell r="K14">
            <v>183807</v>
          </cell>
          <cell r="L14">
            <v>180641</v>
          </cell>
          <cell r="M14">
            <v>228270</v>
          </cell>
          <cell r="N14">
            <v>264188</v>
          </cell>
          <cell r="O14">
            <v>226615</v>
          </cell>
          <cell r="P14">
            <v>279234</v>
          </cell>
          <cell r="T14">
            <v>11</v>
          </cell>
          <cell r="U14" t="str">
            <v xml:space="preserve">Industrial </v>
          </cell>
          <cell r="W14">
            <v>2655442</v>
          </cell>
          <cell r="X14">
            <v>262292</v>
          </cell>
          <cell r="Y14">
            <v>241695</v>
          </cell>
          <cell r="Z14">
            <v>247171</v>
          </cell>
          <cell r="AA14">
            <v>217228</v>
          </cell>
          <cell r="AB14">
            <v>203987</v>
          </cell>
          <cell r="AC14">
            <v>170762</v>
          </cell>
          <cell r="AD14">
            <v>176196</v>
          </cell>
          <cell r="AE14">
            <v>189027</v>
          </cell>
          <cell r="AF14">
            <v>232356</v>
          </cell>
          <cell r="AG14">
            <v>232509</v>
          </cell>
          <cell r="AH14">
            <v>211555</v>
          </cell>
          <cell r="AI14">
            <v>270664</v>
          </cell>
        </row>
        <row r="15">
          <cell r="A15">
            <v>12</v>
          </cell>
          <cell r="B15" t="str">
            <v>Other</v>
          </cell>
          <cell r="D15">
            <v>70654</v>
          </cell>
          <cell r="E15">
            <v>1410</v>
          </cell>
          <cell r="F15">
            <v>2320</v>
          </cell>
          <cell r="G15">
            <v>2452</v>
          </cell>
          <cell r="H15">
            <v>6250</v>
          </cell>
          <cell r="I15">
            <v>3539</v>
          </cell>
          <cell r="J15">
            <v>8661</v>
          </cell>
          <cell r="K15">
            <v>9240</v>
          </cell>
          <cell r="L15">
            <v>12010</v>
          </cell>
          <cell r="M15">
            <v>7861</v>
          </cell>
          <cell r="N15">
            <v>7872</v>
          </cell>
          <cell r="O15">
            <v>4625</v>
          </cell>
          <cell r="P15">
            <v>4414</v>
          </cell>
          <cell r="T15">
            <v>12</v>
          </cell>
          <cell r="U15" t="str">
            <v xml:space="preserve">Interruptible </v>
          </cell>
          <cell r="W15">
            <v>65245</v>
          </cell>
          <cell r="X15">
            <v>1885</v>
          </cell>
          <cell r="Y15">
            <v>1843</v>
          </cell>
          <cell r="Z15">
            <v>1722</v>
          </cell>
          <cell r="AA15">
            <v>4379</v>
          </cell>
          <cell r="AB15">
            <v>3981</v>
          </cell>
          <cell r="AC15">
            <v>8096</v>
          </cell>
          <cell r="AD15">
            <v>7186</v>
          </cell>
          <cell r="AE15">
            <v>8443</v>
          </cell>
          <cell r="AF15">
            <v>9882</v>
          </cell>
          <cell r="AG15">
            <v>9588</v>
          </cell>
          <cell r="AH15">
            <v>4336</v>
          </cell>
          <cell r="AI15">
            <v>3904</v>
          </cell>
        </row>
        <row r="16">
          <cell r="A16">
            <v>13</v>
          </cell>
          <cell r="B16" t="str">
            <v>Total customers</v>
          </cell>
          <cell r="D16">
            <v>7821832</v>
          </cell>
          <cell r="E16">
            <v>1117845</v>
          </cell>
          <cell r="F16">
            <v>1225236</v>
          </cell>
          <cell r="G16">
            <v>1064044</v>
          </cell>
          <cell r="H16">
            <v>716875</v>
          </cell>
          <cell r="I16">
            <v>455083</v>
          </cell>
          <cell r="J16">
            <v>326874</v>
          </cell>
          <cell r="K16">
            <v>314769</v>
          </cell>
          <cell r="L16">
            <v>305253</v>
          </cell>
          <cell r="M16">
            <v>351903</v>
          </cell>
          <cell r="N16">
            <v>429850</v>
          </cell>
          <cell r="O16">
            <v>580830</v>
          </cell>
          <cell r="P16">
            <v>933270</v>
          </cell>
          <cell r="T16">
            <v>13</v>
          </cell>
          <cell r="U16" t="str">
            <v>Total Deliveries</v>
          </cell>
          <cell r="V16"/>
          <cell r="W16">
            <v>7337214</v>
          </cell>
          <cell r="X16">
            <v>1014064</v>
          </cell>
          <cell r="Y16">
            <v>1065166</v>
          </cell>
          <cell r="Z16">
            <v>966315</v>
          </cell>
          <cell r="AA16">
            <v>681533</v>
          </cell>
          <cell r="AB16">
            <v>433516</v>
          </cell>
          <cell r="AC16">
            <v>311497</v>
          </cell>
          <cell r="AD16">
            <v>296080</v>
          </cell>
          <cell r="AE16">
            <v>315551</v>
          </cell>
          <cell r="AF16">
            <v>359218</v>
          </cell>
          <cell r="AG16">
            <v>403363</v>
          </cell>
          <cell r="AH16">
            <v>551311</v>
          </cell>
          <cell r="AI16">
            <v>939600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  <cell r="T18">
            <v>15</v>
          </cell>
          <cell r="X18">
            <v>1.0380400000000001</v>
          </cell>
          <cell r="Y18">
            <v>1.0367999999999999</v>
          </cell>
          <cell r="Z18">
            <v>1.0362800000000001</v>
          </cell>
          <cell r="AA18">
            <v>1.02982</v>
          </cell>
          <cell r="AB18">
            <v>1.03478</v>
          </cell>
          <cell r="AC18">
            <v>1.0458799999999999</v>
          </cell>
          <cell r="AD18">
            <v>1.0603199999999999</v>
          </cell>
          <cell r="AE18">
            <v>1.06446</v>
          </cell>
          <cell r="AF18">
            <v>1.07433</v>
          </cell>
          <cell r="AG18">
            <v>1.0718000000000001</v>
          </cell>
          <cell r="AH18">
            <v>1.0765</v>
          </cell>
          <cell r="AI18">
            <v>1.0692900000000001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2857767</v>
          </cell>
          <cell r="E21">
            <v>526590</v>
          </cell>
          <cell r="F21">
            <v>615051</v>
          </cell>
          <cell r="G21">
            <v>490923</v>
          </cell>
          <cell r="H21">
            <v>291734</v>
          </cell>
          <cell r="I21">
            <v>130566</v>
          </cell>
          <cell r="J21">
            <v>51771</v>
          </cell>
          <cell r="K21">
            <v>43745</v>
          </cell>
          <cell r="L21">
            <v>42122</v>
          </cell>
          <cell r="M21">
            <v>41109</v>
          </cell>
          <cell r="N21">
            <v>57534</v>
          </cell>
          <cell r="O21">
            <v>185767</v>
          </cell>
          <cell r="P21">
            <v>380855</v>
          </cell>
          <cell r="T21">
            <v>18</v>
          </cell>
          <cell r="U21" t="str">
            <v>Residential</v>
          </cell>
          <cell r="W21">
            <v>2537766</v>
          </cell>
          <cell r="X21">
            <v>432458</v>
          </cell>
          <cell r="Y21">
            <v>498367</v>
          </cell>
          <cell r="Z21">
            <v>427295</v>
          </cell>
          <cell r="AA21">
            <v>274023</v>
          </cell>
          <cell r="AB21">
            <v>107552</v>
          </cell>
          <cell r="AC21">
            <v>57232</v>
          </cell>
          <cell r="AD21">
            <v>40499</v>
          </cell>
          <cell r="AE21">
            <v>41675</v>
          </cell>
          <cell r="AF21">
            <v>42012</v>
          </cell>
          <cell r="AG21">
            <v>56039</v>
          </cell>
          <cell r="AH21">
            <v>181175</v>
          </cell>
          <cell r="AI21">
            <v>379439</v>
          </cell>
        </row>
        <row r="22">
          <cell r="A22">
            <v>19</v>
          </cell>
          <cell r="B22" t="str">
            <v>Commercial</v>
          </cell>
          <cell r="D22">
            <v>2443347</v>
          </cell>
          <cell r="E22">
            <v>388499</v>
          </cell>
          <cell r="F22">
            <v>404997</v>
          </cell>
          <cell r="G22">
            <v>357014</v>
          </cell>
          <cell r="H22">
            <v>216833</v>
          </cell>
          <cell r="I22">
            <v>131554</v>
          </cell>
          <cell r="J22">
            <v>88078</v>
          </cell>
          <cell r="K22">
            <v>86139</v>
          </cell>
          <cell r="L22">
            <v>77979</v>
          </cell>
          <cell r="M22">
            <v>82098</v>
          </cell>
          <cell r="N22">
            <v>110490</v>
          </cell>
          <cell r="O22">
            <v>187329</v>
          </cell>
          <cell r="P22">
            <v>312337</v>
          </cell>
          <cell r="T22">
            <v>19</v>
          </cell>
          <cell r="U22" t="str">
            <v>Commercial</v>
          </cell>
          <cell r="W22">
            <v>2297622</v>
          </cell>
          <cell r="X22">
            <v>345955</v>
          </cell>
          <cell r="Y22">
            <v>353497</v>
          </cell>
          <cell r="Z22">
            <v>316156</v>
          </cell>
          <cell r="AA22">
            <v>199618</v>
          </cell>
          <cell r="AB22">
            <v>125841</v>
          </cell>
          <cell r="AC22">
            <v>81493</v>
          </cell>
          <cell r="AD22">
            <v>78997</v>
          </cell>
          <cell r="AE22">
            <v>84018</v>
          </cell>
          <cell r="AF22">
            <v>83663</v>
          </cell>
          <cell r="AG22">
            <v>116806</v>
          </cell>
          <cell r="AH22">
            <v>179905</v>
          </cell>
          <cell r="AI22">
            <v>331673</v>
          </cell>
        </row>
        <row r="23">
          <cell r="A23">
            <v>20</v>
          </cell>
          <cell r="B23" t="str">
            <v xml:space="preserve">Industrial </v>
          </cell>
          <cell r="D23">
            <v>2920405</v>
          </cell>
          <cell r="E23">
            <v>273747</v>
          </cell>
          <cell r="F23">
            <v>268477</v>
          </cell>
          <cell r="G23">
            <v>270249</v>
          </cell>
          <cell r="H23">
            <v>242172</v>
          </cell>
          <cell r="I23">
            <v>215564</v>
          </cell>
          <cell r="J23">
            <v>197326</v>
          </cell>
          <cell r="K23">
            <v>196131</v>
          </cell>
          <cell r="L23">
            <v>192672</v>
          </cell>
          <cell r="M23">
            <v>242929</v>
          </cell>
          <cell r="N23">
            <v>281323</v>
          </cell>
          <cell r="O23">
            <v>241853</v>
          </cell>
          <cell r="P23">
            <v>297962</v>
          </cell>
          <cell r="T23">
            <v>20</v>
          </cell>
          <cell r="U23" t="str">
            <v xml:space="preserve">Industrial </v>
          </cell>
          <cell r="W23">
            <v>2796405</v>
          </cell>
          <cell r="X23">
            <v>272270</v>
          </cell>
          <cell r="Y23">
            <v>250589</v>
          </cell>
          <cell r="Z23">
            <v>256138</v>
          </cell>
          <cell r="AA23">
            <v>223706</v>
          </cell>
          <cell r="AB23">
            <v>211082</v>
          </cell>
          <cell r="AC23">
            <v>178597</v>
          </cell>
          <cell r="AD23">
            <v>186824</v>
          </cell>
          <cell r="AE23">
            <v>201212</v>
          </cell>
          <cell r="AF23">
            <v>249627</v>
          </cell>
          <cell r="AG23">
            <v>249203</v>
          </cell>
          <cell r="AH23">
            <v>227739</v>
          </cell>
          <cell r="AI23">
            <v>289418</v>
          </cell>
        </row>
        <row r="24">
          <cell r="A24">
            <v>21</v>
          </cell>
          <cell r="B24" t="str">
            <v>Other</v>
          </cell>
          <cell r="D24">
            <v>75117</v>
          </cell>
          <cell r="E24">
            <v>1501</v>
          </cell>
          <cell r="F24">
            <v>2444</v>
          </cell>
          <cell r="G24">
            <v>2583</v>
          </cell>
          <cell r="H24">
            <v>6603</v>
          </cell>
          <cell r="I24">
            <v>3744</v>
          </cell>
          <cell r="J24">
            <v>9177</v>
          </cell>
          <cell r="K24">
            <v>9860</v>
          </cell>
          <cell r="L24">
            <v>12810</v>
          </cell>
          <cell r="M24">
            <v>8366</v>
          </cell>
          <cell r="N24">
            <v>8383</v>
          </cell>
          <cell r="O24">
            <v>4936</v>
          </cell>
          <cell r="P24">
            <v>4710</v>
          </cell>
          <cell r="T24">
            <v>21</v>
          </cell>
          <cell r="U24" t="str">
            <v xml:space="preserve">Interruptible </v>
          </cell>
          <cell r="W24">
            <v>69090</v>
          </cell>
          <cell r="X24">
            <v>1957</v>
          </cell>
          <cell r="Y24">
            <v>1911</v>
          </cell>
          <cell r="Z24">
            <v>1784</v>
          </cell>
          <cell r="AA24">
            <v>4510</v>
          </cell>
          <cell r="AB24">
            <v>4119</v>
          </cell>
          <cell r="AC24">
            <v>8467</v>
          </cell>
          <cell r="AD24">
            <v>7619</v>
          </cell>
          <cell r="AE24">
            <v>8987</v>
          </cell>
          <cell r="AF24">
            <v>10617</v>
          </cell>
          <cell r="AG24">
            <v>10276</v>
          </cell>
          <cell r="AH24">
            <v>4668</v>
          </cell>
          <cell r="AI24">
            <v>4175</v>
          </cell>
        </row>
        <row r="25">
          <cell r="A25">
            <v>22</v>
          </cell>
          <cell r="B25" t="str">
            <v>Total Volume</v>
          </cell>
          <cell r="C25"/>
          <cell r="D25">
            <v>8296636</v>
          </cell>
          <cell r="E25">
            <v>1190337</v>
          </cell>
          <cell r="F25">
            <v>1290969</v>
          </cell>
          <cell r="G25">
            <v>1120769</v>
          </cell>
          <cell r="H25">
            <v>757342</v>
          </cell>
          <cell r="I25">
            <v>481428</v>
          </cell>
          <cell r="J25">
            <v>346352</v>
          </cell>
          <cell r="K25">
            <v>335875</v>
          </cell>
          <cell r="L25">
            <v>325583</v>
          </cell>
          <cell r="M25">
            <v>374502</v>
          </cell>
          <cell r="N25">
            <v>457730</v>
          </cell>
          <cell r="O25">
            <v>619885</v>
          </cell>
          <cell r="P25">
            <v>995864</v>
          </cell>
          <cell r="T25">
            <v>22</v>
          </cell>
          <cell r="U25" t="str">
            <v>Total Deliveries</v>
          </cell>
          <cell r="V25"/>
          <cell r="W25">
            <v>7700883</v>
          </cell>
          <cell r="X25">
            <v>1052640</v>
          </cell>
          <cell r="Y25">
            <v>1104364</v>
          </cell>
          <cell r="Z25">
            <v>1001373</v>
          </cell>
          <cell r="AA25">
            <v>701857</v>
          </cell>
          <cell r="AB25">
            <v>448594</v>
          </cell>
          <cell r="AC25">
            <v>325789</v>
          </cell>
          <cell r="AD25">
            <v>313939</v>
          </cell>
          <cell r="AE25">
            <v>335892</v>
          </cell>
          <cell r="AF25">
            <v>385919</v>
          </cell>
          <cell r="AG25">
            <v>432324</v>
          </cell>
          <cell r="AH25">
            <v>593487</v>
          </cell>
          <cell r="AI25">
            <v>1004705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44725</v>
          </cell>
          <cell r="F28">
            <v>44921</v>
          </cell>
          <cell r="G28">
            <v>45084</v>
          </cell>
          <cell r="H28">
            <v>45166</v>
          </cell>
          <cell r="I28">
            <v>45066</v>
          </cell>
          <cell r="J28">
            <v>45019</v>
          </cell>
          <cell r="K28">
            <v>44911</v>
          </cell>
          <cell r="L28">
            <v>44985</v>
          </cell>
          <cell r="M28">
            <v>45185</v>
          </cell>
          <cell r="N28">
            <v>46326</v>
          </cell>
          <cell r="O28">
            <v>47157</v>
          </cell>
          <cell r="P28">
            <v>47558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1118516</v>
          </cell>
          <cell r="F29">
            <v>1112486</v>
          </cell>
          <cell r="G29">
            <v>960394</v>
          </cell>
          <cell r="H29">
            <v>673074</v>
          </cell>
          <cell r="I29">
            <v>438960</v>
          </cell>
          <cell r="J29">
            <v>365608</v>
          </cell>
          <cell r="K29">
            <v>308336</v>
          </cell>
          <cell r="L29">
            <v>346574</v>
          </cell>
          <cell r="M29">
            <v>358046</v>
          </cell>
          <cell r="N29">
            <v>411744</v>
          </cell>
          <cell r="O29">
            <v>651402</v>
          </cell>
          <cell r="P29">
            <v>877650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1157664.0599999998</v>
          </cell>
          <cell r="F30">
            <v>1151423.01</v>
          </cell>
          <cell r="G30">
            <v>994007.78999999992</v>
          </cell>
          <cell r="H30">
            <v>696631.59</v>
          </cell>
          <cell r="I30">
            <v>454323.6</v>
          </cell>
          <cell r="J30">
            <v>378404.27999999997</v>
          </cell>
          <cell r="K30">
            <v>319127.75999999995</v>
          </cell>
          <cell r="L30">
            <v>358704.08999999997</v>
          </cell>
          <cell r="M30">
            <v>370577.61</v>
          </cell>
          <cell r="N30">
            <v>426155.04</v>
          </cell>
          <cell r="O30">
            <v>674201.07</v>
          </cell>
          <cell r="P30">
            <v>908367.74999999988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41387</v>
          </cell>
          <cell r="F34">
            <v>41462</v>
          </cell>
          <cell r="G34">
            <v>41539</v>
          </cell>
          <cell r="H34">
            <v>41571</v>
          </cell>
          <cell r="I34">
            <v>41481</v>
          </cell>
          <cell r="J34">
            <v>41408</v>
          </cell>
          <cell r="K34">
            <v>41330</v>
          </cell>
          <cell r="L34">
            <v>41272</v>
          </cell>
          <cell r="M34">
            <v>41254</v>
          </cell>
          <cell r="N34">
            <v>41269</v>
          </cell>
          <cell r="O34">
            <v>41344</v>
          </cell>
          <cell r="P34">
            <v>41465</v>
          </cell>
          <cell r="T34">
            <v>31</v>
          </cell>
          <cell r="U34" t="str">
            <v>Residential</v>
          </cell>
          <cell r="V34"/>
          <cell r="W34"/>
          <cell r="X34">
            <v>40104</v>
          </cell>
          <cell r="Y34">
            <v>40145</v>
          </cell>
          <cell r="Z34">
            <v>40199</v>
          </cell>
          <cell r="AA34">
            <v>40227</v>
          </cell>
          <cell r="AB34">
            <v>40174</v>
          </cell>
          <cell r="AC34">
            <v>40055</v>
          </cell>
          <cell r="AD34">
            <v>39975</v>
          </cell>
          <cell r="AE34">
            <v>39907</v>
          </cell>
          <cell r="AF34">
            <v>39878</v>
          </cell>
          <cell r="AG34">
            <v>39883</v>
          </cell>
          <cell r="AH34">
            <v>39934</v>
          </cell>
          <cell r="AI34">
            <v>40030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3693</v>
          </cell>
          <cell r="F35">
            <v>3711</v>
          </cell>
          <cell r="G35">
            <v>3719</v>
          </cell>
          <cell r="H35">
            <v>3720</v>
          </cell>
          <cell r="I35">
            <v>3708</v>
          </cell>
          <cell r="J35">
            <v>3693</v>
          </cell>
          <cell r="K35">
            <v>3680</v>
          </cell>
          <cell r="L35">
            <v>3669</v>
          </cell>
          <cell r="M35">
            <v>3660</v>
          </cell>
          <cell r="N35">
            <v>3654</v>
          </cell>
          <cell r="O35">
            <v>3655</v>
          </cell>
          <cell r="P35">
            <v>3663</v>
          </cell>
          <cell r="T35">
            <v>32</v>
          </cell>
          <cell r="U35" t="str">
            <v>Commercial</v>
          </cell>
          <cell r="V35"/>
          <cell r="W35"/>
          <cell r="X35">
            <v>3583</v>
          </cell>
          <cell r="Y35">
            <v>3594</v>
          </cell>
          <cell r="Z35">
            <v>3606</v>
          </cell>
          <cell r="AA35">
            <v>3609</v>
          </cell>
          <cell r="AB35">
            <v>3601</v>
          </cell>
          <cell r="AC35">
            <v>3591</v>
          </cell>
          <cell r="AD35">
            <v>3581</v>
          </cell>
          <cell r="AE35">
            <v>3573</v>
          </cell>
          <cell r="AF35">
            <v>3567</v>
          </cell>
          <cell r="AG35">
            <v>3561</v>
          </cell>
          <cell r="AH35">
            <v>3563</v>
          </cell>
          <cell r="AI35">
            <v>3574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70</v>
          </cell>
          <cell r="F36">
            <v>70</v>
          </cell>
          <cell r="G36">
            <v>70</v>
          </cell>
          <cell r="H36">
            <v>70</v>
          </cell>
          <cell r="I36">
            <v>69</v>
          </cell>
          <cell r="J36">
            <v>69</v>
          </cell>
          <cell r="K36">
            <v>69</v>
          </cell>
          <cell r="L36">
            <v>69</v>
          </cell>
          <cell r="M36">
            <v>70</v>
          </cell>
          <cell r="N36">
            <v>70</v>
          </cell>
          <cell r="O36">
            <v>70</v>
          </cell>
          <cell r="P36">
            <v>71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65</v>
          </cell>
          <cell r="Y36">
            <v>65</v>
          </cell>
          <cell r="Z36">
            <v>65</v>
          </cell>
          <cell r="AA36">
            <v>65</v>
          </cell>
          <cell r="AB36">
            <v>66</v>
          </cell>
          <cell r="AC36">
            <v>66</v>
          </cell>
          <cell r="AD36">
            <v>66</v>
          </cell>
          <cell r="AE36">
            <v>67</v>
          </cell>
          <cell r="AF36">
            <v>67</v>
          </cell>
          <cell r="AG36">
            <v>67</v>
          </cell>
          <cell r="AH36">
            <v>67</v>
          </cell>
          <cell r="AI36">
            <v>68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7</v>
          </cell>
          <cell r="F37">
            <v>7</v>
          </cell>
          <cell r="G37">
            <v>7</v>
          </cell>
          <cell r="H37">
            <v>7</v>
          </cell>
          <cell r="I37">
            <v>7</v>
          </cell>
          <cell r="J37">
            <v>7</v>
          </cell>
          <cell r="K37">
            <v>7</v>
          </cell>
          <cell r="L37">
            <v>7</v>
          </cell>
          <cell r="M37">
            <v>7</v>
          </cell>
          <cell r="N37">
            <v>7</v>
          </cell>
          <cell r="O37">
            <v>7</v>
          </cell>
          <cell r="P37">
            <v>7</v>
          </cell>
          <cell r="T37">
            <v>34</v>
          </cell>
          <cell r="U37" t="str">
            <v>Other</v>
          </cell>
          <cell r="V37"/>
          <cell r="W37"/>
          <cell r="X37">
            <v>1</v>
          </cell>
          <cell r="Y37">
            <v>2</v>
          </cell>
          <cell r="Z37">
            <v>4</v>
          </cell>
          <cell r="AA37">
            <v>4</v>
          </cell>
          <cell r="AB37">
            <v>4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45157</v>
          </cell>
          <cell r="F38">
            <v>45250</v>
          </cell>
          <cell r="G38">
            <v>45335</v>
          </cell>
          <cell r="H38">
            <v>45368</v>
          </cell>
          <cell r="I38">
            <v>45265</v>
          </cell>
          <cell r="J38">
            <v>45177</v>
          </cell>
          <cell r="K38">
            <v>45086</v>
          </cell>
          <cell r="L38">
            <v>45017</v>
          </cell>
          <cell r="M38">
            <v>44991</v>
          </cell>
          <cell r="N38">
            <v>45000</v>
          </cell>
          <cell r="O38">
            <v>45076</v>
          </cell>
          <cell r="P38">
            <v>45206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43753</v>
          </cell>
          <cell r="Y38">
            <v>43806</v>
          </cell>
          <cell r="Z38">
            <v>43874</v>
          </cell>
          <cell r="AA38">
            <v>43905</v>
          </cell>
          <cell r="AB38">
            <v>43845</v>
          </cell>
          <cell r="AC38">
            <v>43717</v>
          </cell>
          <cell r="AD38">
            <v>43627</v>
          </cell>
          <cell r="AE38">
            <v>43552</v>
          </cell>
          <cell r="AF38">
            <v>43517</v>
          </cell>
          <cell r="AG38">
            <v>43516</v>
          </cell>
          <cell r="AH38">
            <v>43569</v>
          </cell>
          <cell r="AI38">
            <v>43677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494520</v>
          </cell>
          <cell r="F41">
            <v>1078254</v>
          </cell>
          <cell r="G41">
            <v>1544330</v>
          </cell>
          <cell r="H41">
            <v>1820476</v>
          </cell>
          <cell r="I41">
            <v>1943897</v>
          </cell>
          <cell r="J41">
            <v>1992756</v>
          </cell>
          <cell r="K41">
            <v>2033752</v>
          </cell>
          <cell r="L41">
            <v>2073244</v>
          </cell>
          <cell r="M41">
            <v>2111872</v>
          </cell>
          <cell r="N41">
            <v>2165902</v>
          </cell>
          <cell r="O41">
            <v>2339965</v>
          </cell>
          <cell r="P41">
            <v>2696882</v>
          </cell>
          <cell r="T41">
            <v>38</v>
          </cell>
          <cell r="U41" t="str">
            <v>Residential</v>
          </cell>
          <cell r="W41"/>
          <cell r="X41">
            <v>416610</v>
          </cell>
          <cell r="Y41">
            <v>897288</v>
          </cell>
          <cell r="Z41">
            <v>1309623</v>
          </cell>
          <cell r="AA41">
            <v>1575711</v>
          </cell>
          <cell r="AB41">
            <v>1679648</v>
          </cell>
          <cell r="AC41">
            <v>1734369</v>
          </cell>
          <cell r="AD41">
            <v>1772564</v>
          </cell>
          <cell r="AE41">
            <v>1811715</v>
          </cell>
          <cell r="AF41">
            <v>1850820</v>
          </cell>
          <cell r="AG41">
            <v>1903105</v>
          </cell>
          <cell r="AH41">
            <v>2071405</v>
          </cell>
          <cell r="AI41">
            <v>2426256</v>
          </cell>
        </row>
        <row r="42">
          <cell r="A42">
            <v>39</v>
          </cell>
          <cell r="B42" t="str">
            <v>Commercial</v>
          </cell>
          <cell r="D42"/>
          <cell r="E42">
            <v>364839</v>
          </cell>
          <cell r="F42">
            <v>749214</v>
          </cell>
          <cell r="G42">
            <v>1088159</v>
          </cell>
          <cell r="H42">
            <v>1293406</v>
          </cell>
          <cell r="I42">
            <v>1417761</v>
          </cell>
          <cell r="J42">
            <v>1500886</v>
          </cell>
          <cell r="K42">
            <v>1581612</v>
          </cell>
          <cell r="L42">
            <v>1654722</v>
          </cell>
          <cell r="M42">
            <v>1731866</v>
          </cell>
          <cell r="N42">
            <v>1835626</v>
          </cell>
          <cell r="O42">
            <v>2011153</v>
          </cell>
          <cell r="P42">
            <v>2303858</v>
          </cell>
          <cell r="T42">
            <v>39</v>
          </cell>
          <cell r="U42" t="str">
            <v>Commercial</v>
          </cell>
          <cell r="W42"/>
          <cell r="X42">
            <v>333277</v>
          </cell>
          <cell r="Y42">
            <v>674227</v>
          </cell>
          <cell r="Z42">
            <v>979314</v>
          </cell>
          <cell r="AA42">
            <v>1173152</v>
          </cell>
          <cell r="AB42">
            <v>1294763</v>
          </cell>
          <cell r="AC42">
            <v>1372681</v>
          </cell>
          <cell r="AD42">
            <v>1447184</v>
          </cell>
          <cell r="AE42">
            <v>1526114</v>
          </cell>
          <cell r="AF42">
            <v>1603989</v>
          </cell>
          <cell r="AG42">
            <v>1712970</v>
          </cell>
          <cell r="AH42">
            <v>1880090</v>
          </cell>
          <cell r="AI42">
            <v>2190271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257076</v>
          </cell>
          <cell r="F43">
            <v>511883</v>
          </cell>
          <cell r="G43">
            <v>768454</v>
          </cell>
          <cell r="H43">
            <v>997686</v>
          </cell>
          <cell r="I43">
            <v>1201454</v>
          </cell>
          <cell r="J43">
            <v>1387683</v>
          </cell>
          <cell r="K43">
            <v>1571490</v>
          </cell>
          <cell r="L43">
            <v>1752131</v>
          </cell>
          <cell r="M43">
            <v>1980401</v>
          </cell>
          <cell r="N43">
            <v>2244589</v>
          </cell>
          <cell r="O43">
            <v>2471204</v>
          </cell>
          <cell r="P43">
            <v>2750438</v>
          </cell>
          <cell r="T43">
            <v>40</v>
          </cell>
          <cell r="U43" t="str">
            <v xml:space="preserve">Industrial </v>
          </cell>
          <cell r="W43"/>
          <cell r="X43">
            <v>262292</v>
          </cell>
          <cell r="Y43">
            <v>503987</v>
          </cell>
          <cell r="Z43">
            <v>751158</v>
          </cell>
          <cell r="AA43">
            <v>968386</v>
          </cell>
          <cell r="AB43">
            <v>1172373</v>
          </cell>
          <cell r="AC43">
            <v>1343135</v>
          </cell>
          <cell r="AD43">
            <v>1519331</v>
          </cell>
          <cell r="AE43">
            <v>1708358</v>
          </cell>
          <cell r="AF43">
            <v>1940714</v>
          </cell>
          <cell r="AG43">
            <v>2173223</v>
          </cell>
          <cell r="AH43">
            <v>2384778</v>
          </cell>
          <cell r="AI43">
            <v>2655442</v>
          </cell>
        </row>
        <row r="44">
          <cell r="A44">
            <v>41</v>
          </cell>
          <cell r="B44" t="str">
            <v>Other</v>
          </cell>
          <cell r="D44"/>
          <cell r="E44">
            <v>1410</v>
          </cell>
          <cell r="F44">
            <v>3730</v>
          </cell>
          <cell r="G44">
            <v>6182</v>
          </cell>
          <cell r="H44">
            <v>12432</v>
          </cell>
          <cell r="I44">
            <v>15971</v>
          </cell>
          <cell r="J44">
            <v>24632</v>
          </cell>
          <cell r="K44">
            <v>33872</v>
          </cell>
          <cell r="L44">
            <v>45882</v>
          </cell>
          <cell r="M44">
            <v>53743</v>
          </cell>
          <cell r="N44">
            <v>61615</v>
          </cell>
          <cell r="O44">
            <v>66240</v>
          </cell>
          <cell r="P44">
            <v>70654</v>
          </cell>
          <cell r="T44">
            <v>41</v>
          </cell>
          <cell r="U44" t="str">
            <v>Other</v>
          </cell>
          <cell r="W44"/>
          <cell r="X44">
            <v>1885</v>
          </cell>
          <cell r="Y44">
            <v>3728</v>
          </cell>
          <cell r="Z44">
            <v>5450</v>
          </cell>
          <cell r="AA44">
            <v>9829</v>
          </cell>
          <cell r="AB44">
            <v>13810</v>
          </cell>
          <cell r="AC44">
            <v>21906</v>
          </cell>
          <cell r="AD44">
            <v>29092</v>
          </cell>
          <cell r="AE44">
            <v>37535</v>
          </cell>
          <cell r="AF44">
            <v>47417</v>
          </cell>
          <cell r="AG44">
            <v>57005</v>
          </cell>
          <cell r="AH44">
            <v>61341</v>
          </cell>
          <cell r="AI44">
            <v>65245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1117845</v>
          </cell>
          <cell r="F45">
            <v>2343081</v>
          </cell>
          <cell r="G45">
            <v>3407125</v>
          </cell>
          <cell r="H45">
            <v>4124000</v>
          </cell>
          <cell r="I45">
            <v>4579083</v>
          </cell>
          <cell r="J45">
            <v>4905957</v>
          </cell>
          <cell r="K45">
            <v>5220726</v>
          </cell>
          <cell r="L45">
            <v>5525979</v>
          </cell>
          <cell r="M45">
            <v>5877882</v>
          </cell>
          <cell r="N45">
            <v>6307732</v>
          </cell>
          <cell r="O45">
            <v>6888562</v>
          </cell>
          <cell r="P45">
            <v>7821832</v>
          </cell>
          <cell r="T45">
            <v>42</v>
          </cell>
          <cell r="U45" t="str">
            <v>Total customers</v>
          </cell>
          <cell r="V45"/>
          <cell r="W45"/>
          <cell r="X45">
            <v>1014064</v>
          </cell>
          <cell r="Y45">
            <v>2079230</v>
          </cell>
          <cell r="Z45">
            <v>3045545</v>
          </cell>
          <cell r="AA45">
            <v>3727078</v>
          </cell>
          <cell r="AB45">
            <v>4160594</v>
          </cell>
          <cell r="AC45">
            <v>4472091</v>
          </cell>
          <cell r="AD45">
            <v>4768171</v>
          </cell>
          <cell r="AE45">
            <v>5083722</v>
          </cell>
          <cell r="AF45">
            <v>5442940</v>
          </cell>
          <cell r="AG45">
            <v>5846303</v>
          </cell>
          <cell r="AH45">
            <v>6397614</v>
          </cell>
          <cell r="AI45">
            <v>7337214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V47"/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526590</v>
          </cell>
          <cell r="F48">
            <v>1141641</v>
          </cell>
          <cell r="G48">
            <v>1632564</v>
          </cell>
          <cell r="H48">
            <v>1924298</v>
          </cell>
          <cell r="I48">
            <v>2054864</v>
          </cell>
          <cell r="J48">
            <v>2106635</v>
          </cell>
          <cell r="K48">
            <v>2150380</v>
          </cell>
          <cell r="L48">
            <v>2192502</v>
          </cell>
          <cell r="M48">
            <v>2233611</v>
          </cell>
          <cell r="N48">
            <v>2291145</v>
          </cell>
          <cell r="O48">
            <v>2476912</v>
          </cell>
          <cell r="P48">
            <v>2857767</v>
          </cell>
          <cell r="T48">
            <v>45</v>
          </cell>
          <cell r="U48" t="str">
            <v>Residential</v>
          </cell>
          <cell r="W48"/>
          <cell r="X48">
            <v>432458</v>
          </cell>
          <cell r="Y48">
            <v>930825</v>
          </cell>
          <cell r="Z48">
            <v>1358120</v>
          </cell>
          <cell r="AA48">
            <v>1632143</v>
          </cell>
          <cell r="AB48">
            <v>1739695</v>
          </cell>
          <cell r="AC48">
            <v>1796927</v>
          </cell>
          <cell r="AD48">
            <v>1837426</v>
          </cell>
          <cell r="AE48">
            <v>1879101</v>
          </cell>
          <cell r="AF48">
            <v>1921113</v>
          </cell>
          <cell r="AG48">
            <v>1977152</v>
          </cell>
          <cell r="AH48">
            <v>2158327</v>
          </cell>
          <cell r="AI48">
            <v>2537766</v>
          </cell>
        </row>
        <row r="49">
          <cell r="A49">
            <v>46</v>
          </cell>
          <cell r="B49" t="str">
            <v>Commercial</v>
          </cell>
          <cell r="D49"/>
          <cell r="E49">
            <v>388499</v>
          </cell>
          <cell r="F49">
            <v>793496</v>
          </cell>
          <cell r="G49">
            <v>1150510</v>
          </cell>
          <cell r="H49">
            <v>1367343</v>
          </cell>
          <cell r="I49">
            <v>1498897</v>
          </cell>
          <cell r="J49">
            <v>1586975</v>
          </cell>
          <cell r="K49">
            <v>1673114</v>
          </cell>
          <cell r="L49">
            <v>1751093</v>
          </cell>
          <cell r="M49">
            <v>1833191</v>
          </cell>
          <cell r="N49">
            <v>1943681</v>
          </cell>
          <cell r="O49">
            <v>2131010</v>
          </cell>
          <cell r="P49">
            <v>2443347</v>
          </cell>
          <cell r="T49">
            <v>46</v>
          </cell>
          <cell r="U49" t="str">
            <v>Commercial</v>
          </cell>
          <cell r="W49"/>
          <cell r="X49">
            <v>345955</v>
          </cell>
          <cell r="Y49">
            <v>699452</v>
          </cell>
          <cell r="Z49">
            <v>1015608</v>
          </cell>
          <cell r="AA49">
            <v>1215226</v>
          </cell>
          <cell r="AB49">
            <v>1341067</v>
          </cell>
          <cell r="AC49">
            <v>1422560</v>
          </cell>
          <cell r="AD49">
            <v>1501557</v>
          </cell>
          <cell r="AE49">
            <v>1585575</v>
          </cell>
          <cell r="AF49">
            <v>1669238</v>
          </cell>
          <cell r="AG49">
            <v>1786044</v>
          </cell>
          <cell r="AH49">
            <v>1965949</v>
          </cell>
          <cell r="AI49">
            <v>2297622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273747</v>
          </cell>
          <cell r="F50">
            <v>542224</v>
          </cell>
          <cell r="G50">
            <v>812473</v>
          </cell>
          <cell r="H50">
            <v>1054645</v>
          </cell>
          <cell r="I50">
            <v>1270209</v>
          </cell>
          <cell r="J50">
            <v>1467535</v>
          </cell>
          <cell r="K50">
            <v>1663666</v>
          </cell>
          <cell r="L50">
            <v>1856338</v>
          </cell>
          <cell r="M50">
            <v>2099267</v>
          </cell>
          <cell r="N50">
            <v>2380590</v>
          </cell>
          <cell r="O50">
            <v>2622443</v>
          </cell>
          <cell r="P50">
            <v>2920405</v>
          </cell>
          <cell r="T50">
            <v>47</v>
          </cell>
          <cell r="U50" t="str">
            <v xml:space="preserve">Industrial </v>
          </cell>
          <cell r="W50"/>
          <cell r="X50">
            <v>272270</v>
          </cell>
          <cell r="Y50">
            <v>522859</v>
          </cell>
          <cell r="Z50">
            <v>778997</v>
          </cell>
          <cell r="AA50">
            <v>1002703</v>
          </cell>
          <cell r="AB50">
            <v>1213785</v>
          </cell>
          <cell r="AC50">
            <v>1392382</v>
          </cell>
          <cell r="AD50">
            <v>1579206</v>
          </cell>
          <cell r="AE50">
            <v>1780418</v>
          </cell>
          <cell r="AF50">
            <v>2030045</v>
          </cell>
          <cell r="AG50">
            <v>2279248</v>
          </cell>
          <cell r="AH50">
            <v>2506987</v>
          </cell>
          <cell r="AI50">
            <v>2796405</v>
          </cell>
        </row>
        <row r="51">
          <cell r="A51">
            <v>48</v>
          </cell>
          <cell r="B51" t="str">
            <v>Other</v>
          </cell>
          <cell r="D51"/>
          <cell r="E51">
            <v>1501</v>
          </cell>
          <cell r="F51">
            <v>3945</v>
          </cell>
          <cell r="G51">
            <v>6528</v>
          </cell>
          <cell r="H51">
            <v>13131</v>
          </cell>
          <cell r="I51">
            <v>16875</v>
          </cell>
          <cell r="J51">
            <v>26052</v>
          </cell>
          <cell r="K51">
            <v>35912</v>
          </cell>
          <cell r="L51">
            <v>48722</v>
          </cell>
          <cell r="M51">
            <v>57088</v>
          </cell>
          <cell r="N51">
            <v>65471</v>
          </cell>
          <cell r="O51">
            <v>70407</v>
          </cell>
          <cell r="P51">
            <v>75117</v>
          </cell>
          <cell r="T51">
            <v>48</v>
          </cell>
          <cell r="U51" t="str">
            <v>Other</v>
          </cell>
          <cell r="W51"/>
          <cell r="X51">
            <v>1957</v>
          </cell>
          <cell r="Y51">
            <v>3868</v>
          </cell>
          <cell r="Z51">
            <v>5652</v>
          </cell>
          <cell r="AA51">
            <v>10162</v>
          </cell>
          <cell r="AB51">
            <v>14281</v>
          </cell>
          <cell r="AC51">
            <v>22748</v>
          </cell>
          <cell r="AD51">
            <v>30367</v>
          </cell>
          <cell r="AE51">
            <v>39354</v>
          </cell>
          <cell r="AF51">
            <v>49971</v>
          </cell>
          <cell r="AG51">
            <v>60247</v>
          </cell>
          <cell r="AH51">
            <v>64915</v>
          </cell>
          <cell r="AI51">
            <v>69090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1190337</v>
          </cell>
          <cell r="F52">
            <v>2481306</v>
          </cell>
          <cell r="G52">
            <v>3602075</v>
          </cell>
          <cell r="H52">
            <v>4359417</v>
          </cell>
          <cell r="I52">
            <v>4840845</v>
          </cell>
          <cell r="J52">
            <v>5187197</v>
          </cell>
          <cell r="K52">
            <v>5523072</v>
          </cell>
          <cell r="L52">
            <v>5848655</v>
          </cell>
          <cell r="M52">
            <v>6223157</v>
          </cell>
          <cell r="N52">
            <v>6680887</v>
          </cell>
          <cell r="O52">
            <v>7300772</v>
          </cell>
          <cell r="P52">
            <v>8296636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1052640</v>
          </cell>
          <cell r="Y52">
            <v>2157004</v>
          </cell>
          <cell r="Z52">
            <v>3158377</v>
          </cell>
          <cell r="AA52">
            <v>3860234</v>
          </cell>
          <cell r="AB52">
            <v>4308828</v>
          </cell>
          <cell r="AC52">
            <v>4634617</v>
          </cell>
          <cell r="AD52">
            <v>4948556</v>
          </cell>
          <cell r="AE52">
            <v>5284448</v>
          </cell>
          <cell r="AF52">
            <v>5670367</v>
          </cell>
          <cell r="AG52">
            <v>6102691</v>
          </cell>
          <cell r="AH52">
            <v>6696178</v>
          </cell>
          <cell r="AI52">
            <v>7700883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44725</v>
          </cell>
          <cell r="F55">
            <v>44823</v>
          </cell>
          <cell r="G55">
            <v>44910</v>
          </cell>
          <cell r="H55">
            <v>44974</v>
          </cell>
          <cell r="I55">
            <v>44992</v>
          </cell>
          <cell r="J55">
            <v>44997</v>
          </cell>
          <cell r="K55">
            <v>44985</v>
          </cell>
          <cell r="L55">
            <v>44985</v>
          </cell>
          <cell r="M55">
            <v>45007</v>
          </cell>
          <cell r="N55">
            <v>45139</v>
          </cell>
          <cell r="O55">
            <v>45322</v>
          </cell>
          <cell r="P55">
            <v>45509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1118516</v>
          </cell>
          <cell r="F56">
            <v>2231002</v>
          </cell>
          <cell r="G56">
            <v>3191396</v>
          </cell>
          <cell r="H56">
            <v>3864470</v>
          </cell>
          <cell r="I56">
            <v>4303430</v>
          </cell>
          <cell r="J56">
            <v>4669038</v>
          </cell>
          <cell r="K56">
            <v>4977374</v>
          </cell>
          <cell r="L56">
            <v>5323948</v>
          </cell>
          <cell r="M56">
            <v>5681994</v>
          </cell>
          <cell r="N56">
            <v>6093738</v>
          </cell>
          <cell r="O56">
            <v>6745140</v>
          </cell>
          <cell r="P56">
            <v>7622790</v>
          </cell>
        </row>
        <row r="57">
          <cell r="A57">
            <v>54</v>
          </cell>
          <cell r="B57" t="str">
            <v>Cumulative YTD Budget Volume (Dts) * 1.035</v>
          </cell>
          <cell r="E57">
            <v>1157664.0599999998</v>
          </cell>
          <cell r="F57">
            <v>2309087.0699999998</v>
          </cell>
          <cell r="G57">
            <v>3303094.86</v>
          </cell>
          <cell r="H57">
            <v>3999726.4499999997</v>
          </cell>
          <cell r="I57">
            <v>4454050.05</v>
          </cell>
          <cell r="J57">
            <v>4832454.33</v>
          </cell>
          <cell r="K57">
            <v>5151582.09</v>
          </cell>
          <cell r="L57">
            <v>5510286.1799999997</v>
          </cell>
          <cell r="M57">
            <v>5880863.79</v>
          </cell>
          <cell r="N57">
            <v>6307018.8300000001</v>
          </cell>
          <cell r="O57">
            <v>6981219.9000000004</v>
          </cell>
          <cell r="P57">
            <v>7889587.6500000004</v>
          </cell>
        </row>
      </sheetData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14411.666666666666</v>
          </cell>
          <cell r="E5">
            <v>14264</v>
          </cell>
          <cell r="F5">
            <v>14361</v>
          </cell>
          <cell r="G5">
            <v>14422</v>
          </cell>
          <cell r="H5">
            <v>14487</v>
          </cell>
          <cell r="I5">
            <v>14403</v>
          </cell>
          <cell r="J5">
            <v>14270</v>
          </cell>
          <cell r="K5">
            <v>14288</v>
          </cell>
          <cell r="L5">
            <v>14361</v>
          </cell>
          <cell r="M5">
            <v>14420</v>
          </cell>
          <cell r="N5">
            <v>14459</v>
          </cell>
          <cell r="O5">
            <v>14539</v>
          </cell>
          <cell r="P5">
            <v>14666</v>
          </cell>
          <cell r="T5">
            <v>2</v>
          </cell>
          <cell r="U5" t="str">
            <v>Residential</v>
          </cell>
          <cell r="V5">
            <v>13970</v>
          </cell>
          <cell r="W5">
            <v>167635</v>
          </cell>
          <cell r="X5">
            <v>13904</v>
          </cell>
          <cell r="Y5">
            <v>13967</v>
          </cell>
          <cell r="Z5">
            <v>14008</v>
          </cell>
          <cell r="AA5">
            <v>14078</v>
          </cell>
          <cell r="AB5">
            <v>13896</v>
          </cell>
          <cell r="AC5">
            <v>13948</v>
          </cell>
          <cell r="AD5">
            <v>13919</v>
          </cell>
          <cell r="AE5">
            <v>13937</v>
          </cell>
          <cell r="AF5">
            <v>13896</v>
          </cell>
          <cell r="AG5">
            <v>13941</v>
          </cell>
          <cell r="AH5">
            <v>14014</v>
          </cell>
          <cell r="AI5">
            <v>14127</v>
          </cell>
        </row>
        <row r="6">
          <cell r="A6">
            <v>3</v>
          </cell>
          <cell r="B6" t="str">
            <v>Commercial</v>
          </cell>
          <cell r="C6"/>
          <cell r="D6">
            <v>1362.6666666666667</v>
          </cell>
          <cell r="E6">
            <v>1349</v>
          </cell>
          <cell r="F6">
            <v>1335</v>
          </cell>
          <cell r="G6">
            <v>1354</v>
          </cell>
          <cell r="H6">
            <v>1400</v>
          </cell>
          <cell r="I6">
            <v>1357</v>
          </cell>
          <cell r="J6">
            <v>1331</v>
          </cell>
          <cell r="K6">
            <v>1333</v>
          </cell>
          <cell r="L6">
            <v>1386</v>
          </cell>
          <cell r="M6">
            <v>1422</v>
          </cell>
          <cell r="N6">
            <v>1380</v>
          </cell>
          <cell r="O6">
            <v>1352</v>
          </cell>
          <cell r="P6">
            <v>1353</v>
          </cell>
          <cell r="T6">
            <v>3</v>
          </cell>
          <cell r="U6" t="str">
            <v>Commercial</v>
          </cell>
          <cell r="V6">
            <v>1299</v>
          </cell>
          <cell r="W6">
            <v>15585</v>
          </cell>
          <cell r="X6">
            <v>1275</v>
          </cell>
          <cell r="Y6">
            <v>1268</v>
          </cell>
          <cell r="Z6">
            <v>1281</v>
          </cell>
          <cell r="AA6">
            <v>1297</v>
          </cell>
          <cell r="AB6">
            <v>1295</v>
          </cell>
          <cell r="AC6">
            <v>1290</v>
          </cell>
          <cell r="AD6">
            <v>1303</v>
          </cell>
          <cell r="AE6">
            <v>1291</v>
          </cell>
          <cell r="AF6">
            <v>1315</v>
          </cell>
          <cell r="AG6">
            <v>1312</v>
          </cell>
          <cell r="AH6">
            <v>1324</v>
          </cell>
          <cell r="AI6">
            <v>1334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60.416666666666664</v>
          </cell>
          <cell r="E7">
            <v>59</v>
          </cell>
          <cell r="F7">
            <v>66</v>
          </cell>
          <cell r="G7">
            <v>58</v>
          </cell>
          <cell r="H7">
            <v>58</v>
          </cell>
          <cell r="I7">
            <v>59</v>
          </cell>
          <cell r="J7">
            <v>59</v>
          </cell>
          <cell r="K7">
            <v>59</v>
          </cell>
          <cell r="L7">
            <v>60</v>
          </cell>
          <cell r="M7">
            <v>59</v>
          </cell>
          <cell r="N7">
            <v>61</v>
          </cell>
          <cell r="O7">
            <v>60</v>
          </cell>
          <cell r="P7">
            <v>67</v>
          </cell>
          <cell r="T7">
            <v>4</v>
          </cell>
          <cell r="U7" t="str">
            <v xml:space="preserve">Industrial </v>
          </cell>
          <cell r="V7">
            <v>58</v>
          </cell>
          <cell r="W7">
            <v>701</v>
          </cell>
          <cell r="X7">
            <v>57</v>
          </cell>
          <cell r="Y7">
            <v>60</v>
          </cell>
          <cell r="Z7">
            <v>58</v>
          </cell>
          <cell r="AA7">
            <v>56</v>
          </cell>
          <cell r="AB7">
            <v>57</v>
          </cell>
          <cell r="AC7">
            <v>55</v>
          </cell>
          <cell r="AD7">
            <v>58</v>
          </cell>
          <cell r="AE7">
            <v>58</v>
          </cell>
          <cell r="AF7">
            <v>63</v>
          </cell>
          <cell r="AG7">
            <v>62</v>
          </cell>
          <cell r="AH7">
            <v>59</v>
          </cell>
          <cell r="AI7">
            <v>58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/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15834.749999999998</v>
          </cell>
          <cell r="E9">
            <v>15672</v>
          </cell>
          <cell r="F9">
            <v>15762</v>
          </cell>
          <cell r="G9">
            <v>15834</v>
          </cell>
          <cell r="H9">
            <v>15945</v>
          </cell>
          <cell r="I9">
            <v>15819</v>
          </cell>
          <cell r="J9">
            <v>15660</v>
          </cell>
          <cell r="K9">
            <v>15680</v>
          </cell>
          <cell r="L9">
            <v>15807</v>
          </cell>
          <cell r="M9">
            <v>15901</v>
          </cell>
          <cell r="N9">
            <v>15900</v>
          </cell>
          <cell r="O9">
            <v>15951</v>
          </cell>
          <cell r="P9">
            <v>16086</v>
          </cell>
          <cell r="T9">
            <v>6</v>
          </cell>
          <cell r="U9" t="str">
            <v>Total customers</v>
          </cell>
          <cell r="V9">
            <v>15327</v>
          </cell>
          <cell r="W9">
            <v>183921</v>
          </cell>
          <cell r="X9">
            <v>15236</v>
          </cell>
          <cell r="Y9">
            <v>15295</v>
          </cell>
          <cell r="Z9">
            <v>15347</v>
          </cell>
          <cell r="AA9">
            <v>15431</v>
          </cell>
          <cell r="AB9">
            <v>15248</v>
          </cell>
          <cell r="AC9">
            <v>15293</v>
          </cell>
          <cell r="AD9">
            <v>15280</v>
          </cell>
          <cell r="AE9">
            <v>15286</v>
          </cell>
          <cell r="AF9">
            <v>15274</v>
          </cell>
          <cell r="AG9">
            <v>15315</v>
          </cell>
          <cell r="AH9">
            <v>15397</v>
          </cell>
          <cell r="AI9">
            <v>15519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333709.19875352998</v>
          </cell>
          <cell r="E12">
            <v>52421</v>
          </cell>
          <cell r="F12">
            <v>42274</v>
          </cell>
          <cell r="G12">
            <v>38382</v>
          </cell>
          <cell r="H12">
            <v>34621</v>
          </cell>
          <cell r="I12">
            <v>19983.737462265068</v>
          </cell>
          <cell r="J12">
            <v>16444.152303048009</v>
          </cell>
          <cell r="K12">
            <v>15428.863569967863</v>
          </cell>
          <cell r="L12">
            <v>14254.649917226605</v>
          </cell>
          <cell r="M12">
            <v>14134.190281429544</v>
          </cell>
          <cell r="N12">
            <v>18694.225338397118</v>
          </cell>
          <cell r="O12">
            <v>27284.253578732107</v>
          </cell>
          <cell r="P12">
            <v>39787.126302463723</v>
          </cell>
          <cell r="T12">
            <v>9</v>
          </cell>
          <cell r="U12" t="str">
            <v>Residential</v>
          </cell>
          <cell r="W12">
            <v>316364</v>
          </cell>
          <cell r="X12">
            <v>39919</v>
          </cell>
          <cell r="Y12">
            <v>37934</v>
          </cell>
          <cell r="Z12">
            <v>45662</v>
          </cell>
          <cell r="AA12">
            <v>32252</v>
          </cell>
          <cell r="AB12">
            <v>18736</v>
          </cell>
          <cell r="AC12">
            <v>18998</v>
          </cell>
          <cell r="AD12">
            <v>17088</v>
          </cell>
          <cell r="AE12">
            <v>21701</v>
          </cell>
          <cell r="AF12">
            <v>13606</v>
          </cell>
          <cell r="AG12">
            <v>17652</v>
          </cell>
          <cell r="AH12">
            <v>23099</v>
          </cell>
          <cell r="AI12">
            <v>29717</v>
          </cell>
        </row>
        <row r="13">
          <cell r="A13">
            <v>10</v>
          </cell>
          <cell r="B13" t="str">
            <v>Commercial</v>
          </cell>
          <cell r="D13">
            <v>1672129.6133995519</v>
          </cell>
          <cell r="E13">
            <v>150373</v>
          </cell>
          <cell r="F13">
            <v>118901</v>
          </cell>
          <cell r="G13">
            <v>125797</v>
          </cell>
          <cell r="H13">
            <v>117929</v>
          </cell>
          <cell r="I13">
            <v>101835.42701334112</v>
          </cell>
          <cell r="J13">
            <v>95135.35884701529</v>
          </cell>
          <cell r="K13">
            <v>93005.453306066804</v>
          </cell>
          <cell r="L13">
            <v>93702.989580290188</v>
          </cell>
          <cell r="M13">
            <v>96572.402376083352</v>
          </cell>
          <cell r="N13">
            <v>111335.57308403934</v>
          </cell>
          <cell r="O13">
            <v>124072.25630538513</v>
          </cell>
          <cell r="P13">
            <v>443470.1528873308</v>
          </cell>
          <cell r="T13">
            <v>10</v>
          </cell>
          <cell r="U13" t="str">
            <v>Commercial</v>
          </cell>
          <cell r="W13">
            <v>1334510</v>
          </cell>
          <cell r="X13">
            <v>121886</v>
          </cell>
          <cell r="Y13">
            <v>118801</v>
          </cell>
          <cell r="Z13">
            <v>157580</v>
          </cell>
          <cell r="AA13">
            <v>107264</v>
          </cell>
          <cell r="AB13">
            <v>109250</v>
          </cell>
          <cell r="AC13">
            <v>96897</v>
          </cell>
          <cell r="AD13">
            <v>102786</v>
          </cell>
          <cell r="AE13">
            <v>89318</v>
          </cell>
          <cell r="AF13">
            <v>92787</v>
          </cell>
          <cell r="AG13">
            <v>100579</v>
          </cell>
          <cell r="AH13">
            <v>114589</v>
          </cell>
          <cell r="AI13">
            <v>122773</v>
          </cell>
        </row>
        <row r="14">
          <cell r="A14">
            <v>11</v>
          </cell>
          <cell r="B14" t="str">
            <v xml:space="preserve">Industrial </v>
          </cell>
          <cell r="D14">
            <v>12287960.11305872</v>
          </cell>
          <cell r="E14">
            <v>1372708</v>
          </cell>
          <cell r="F14">
            <v>1162258</v>
          </cell>
          <cell r="G14">
            <v>1095519</v>
          </cell>
          <cell r="H14">
            <v>1026944</v>
          </cell>
          <cell r="I14">
            <v>1262141.0069140131</v>
          </cell>
          <cell r="J14">
            <v>927210.24442496838</v>
          </cell>
          <cell r="K14">
            <v>979240.33498880127</v>
          </cell>
          <cell r="L14">
            <v>974914.59733177524</v>
          </cell>
          <cell r="M14">
            <v>801969.61729477067</v>
          </cell>
          <cell r="N14">
            <v>773025.12416009349</v>
          </cell>
          <cell r="O14">
            <v>947745.44746323884</v>
          </cell>
          <cell r="P14">
            <v>964284.74048105953</v>
          </cell>
          <cell r="T14">
            <v>11</v>
          </cell>
          <cell r="U14" t="str">
            <v xml:space="preserve">Industrial </v>
          </cell>
          <cell r="W14">
            <v>13102297</v>
          </cell>
          <cell r="X14">
            <v>1310137</v>
          </cell>
          <cell r="Y14">
            <v>1163770</v>
          </cell>
          <cell r="Z14">
            <v>1340307</v>
          </cell>
          <cell r="AA14">
            <v>1215623</v>
          </cell>
          <cell r="AB14">
            <v>1342379</v>
          </cell>
          <cell r="AC14">
            <v>1064231</v>
          </cell>
          <cell r="AD14">
            <v>951110</v>
          </cell>
          <cell r="AE14">
            <v>1070453</v>
          </cell>
          <cell r="AF14">
            <v>723497</v>
          </cell>
          <cell r="AG14">
            <v>923173</v>
          </cell>
          <cell r="AH14">
            <v>863966</v>
          </cell>
          <cell r="AI14">
            <v>1133651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D16">
            <v>14293798.925211802</v>
          </cell>
          <cell r="E16">
            <v>1575502</v>
          </cell>
          <cell r="F16">
            <v>1323433</v>
          </cell>
          <cell r="G16">
            <v>1259698</v>
          </cell>
          <cell r="H16">
            <v>1179494</v>
          </cell>
          <cell r="I16">
            <v>1383960.1713896194</v>
          </cell>
          <cell r="J16">
            <v>1038789.7555750317</v>
          </cell>
          <cell r="K16">
            <v>1087674.651864836</v>
          </cell>
          <cell r="L16">
            <v>1082872.236829292</v>
          </cell>
          <cell r="M16">
            <v>912676.20995228353</v>
          </cell>
          <cell r="N16">
            <v>903054.92258252995</v>
          </cell>
          <cell r="O16">
            <v>1099101.957347356</v>
          </cell>
          <cell r="P16">
            <v>1447542.0196708541</v>
          </cell>
          <cell r="T16">
            <v>13</v>
          </cell>
          <cell r="U16" t="str">
            <v>Total Deliveries</v>
          </cell>
          <cell r="V16"/>
          <cell r="W16">
            <v>14753171</v>
          </cell>
          <cell r="X16">
            <v>1471942</v>
          </cell>
          <cell r="Y16">
            <v>1320505</v>
          </cell>
          <cell r="Z16">
            <v>1543549</v>
          </cell>
          <cell r="AA16">
            <v>1355139</v>
          </cell>
          <cell r="AB16">
            <v>1470365</v>
          </cell>
          <cell r="AC16">
            <v>1180126</v>
          </cell>
          <cell r="AD16">
            <v>1070984</v>
          </cell>
          <cell r="AE16">
            <v>1181472</v>
          </cell>
          <cell r="AF16">
            <v>829890</v>
          </cell>
          <cell r="AG16">
            <v>1041404</v>
          </cell>
          <cell r="AH16">
            <v>1001654</v>
          </cell>
          <cell r="AI16">
            <v>1286141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342684</v>
          </cell>
          <cell r="E21">
            <v>53831</v>
          </cell>
          <cell r="F21">
            <v>43411</v>
          </cell>
          <cell r="G21">
            <v>39414</v>
          </cell>
          <cell r="H21">
            <v>35552</v>
          </cell>
          <cell r="I21">
            <v>20521</v>
          </cell>
          <cell r="J21">
            <v>16887</v>
          </cell>
          <cell r="K21">
            <v>15844</v>
          </cell>
          <cell r="L21">
            <v>14638</v>
          </cell>
          <cell r="M21">
            <v>14514</v>
          </cell>
          <cell r="N21">
            <v>19197</v>
          </cell>
          <cell r="O21">
            <v>28018</v>
          </cell>
          <cell r="P21">
            <v>40857</v>
          </cell>
          <cell r="T21">
            <v>18</v>
          </cell>
          <cell r="U21" t="str">
            <v>Residential</v>
          </cell>
          <cell r="W21">
            <v>324874</v>
          </cell>
          <cell r="X21">
            <v>40993</v>
          </cell>
          <cell r="Y21">
            <v>38954</v>
          </cell>
          <cell r="Z21">
            <v>46890</v>
          </cell>
          <cell r="AA21">
            <v>33120</v>
          </cell>
          <cell r="AB21">
            <v>19240</v>
          </cell>
          <cell r="AC21">
            <v>19509</v>
          </cell>
          <cell r="AD21">
            <v>17548</v>
          </cell>
          <cell r="AE21">
            <v>22285</v>
          </cell>
          <cell r="AF21">
            <v>13972</v>
          </cell>
          <cell r="AG21">
            <v>18127</v>
          </cell>
          <cell r="AH21">
            <v>23720</v>
          </cell>
          <cell r="AI21">
            <v>30516</v>
          </cell>
        </row>
        <row r="22">
          <cell r="A22">
            <v>19</v>
          </cell>
          <cell r="B22" t="str">
            <v>Commercial</v>
          </cell>
          <cell r="D22">
            <v>1717111</v>
          </cell>
          <cell r="E22">
            <v>154418</v>
          </cell>
          <cell r="F22">
            <v>122099</v>
          </cell>
          <cell r="G22">
            <v>129181</v>
          </cell>
          <cell r="H22">
            <v>121101</v>
          </cell>
          <cell r="I22">
            <v>104575</v>
          </cell>
          <cell r="J22">
            <v>97695</v>
          </cell>
          <cell r="K22">
            <v>95507</v>
          </cell>
          <cell r="L22">
            <v>96224</v>
          </cell>
          <cell r="M22">
            <v>99170</v>
          </cell>
          <cell r="N22">
            <v>114331</v>
          </cell>
          <cell r="O22">
            <v>127410</v>
          </cell>
          <cell r="P22">
            <v>455400</v>
          </cell>
          <cell r="T22">
            <v>19</v>
          </cell>
          <cell r="U22" t="str">
            <v>Commercial</v>
          </cell>
          <cell r="W22">
            <v>1370410</v>
          </cell>
          <cell r="X22">
            <v>125165</v>
          </cell>
          <cell r="Y22">
            <v>121997</v>
          </cell>
          <cell r="Z22">
            <v>161819</v>
          </cell>
          <cell r="AA22">
            <v>110149</v>
          </cell>
          <cell r="AB22">
            <v>112189</v>
          </cell>
          <cell r="AC22">
            <v>99504</v>
          </cell>
          <cell r="AD22">
            <v>105551</v>
          </cell>
          <cell r="AE22">
            <v>91721</v>
          </cell>
          <cell r="AF22">
            <v>95283</v>
          </cell>
          <cell r="AG22">
            <v>103285</v>
          </cell>
          <cell r="AH22">
            <v>117671</v>
          </cell>
          <cell r="AI22">
            <v>126076</v>
          </cell>
        </row>
        <row r="23">
          <cell r="A23">
            <v>20</v>
          </cell>
          <cell r="B23" t="str">
            <v xml:space="preserve">Industrial </v>
          </cell>
          <cell r="D23">
            <v>12618508</v>
          </cell>
          <cell r="E23">
            <v>1409634</v>
          </cell>
          <cell r="F23">
            <v>1193523</v>
          </cell>
          <cell r="G23">
            <v>1124988</v>
          </cell>
          <cell r="H23">
            <v>1054569</v>
          </cell>
          <cell r="I23">
            <v>1296093</v>
          </cell>
          <cell r="J23">
            <v>952152</v>
          </cell>
          <cell r="K23">
            <v>1005582</v>
          </cell>
          <cell r="L23">
            <v>1001140</v>
          </cell>
          <cell r="M23">
            <v>823543</v>
          </cell>
          <cell r="N23">
            <v>793820</v>
          </cell>
          <cell r="O23">
            <v>973240</v>
          </cell>
          <cell r="P23">
            <v>990224</v>
          </cell>
          <cell r="T23">
            <v>20</v>
          </cell>
          <cell r="U23" t="str">
            <v xml:space="preserve">Industrial </v>
          </cell>
          <cell r="W23">
            <v>13454748</v>
          </cell>
          <cell r="X23">
            <v>1345380</v>
          </cell>
          <cell r="Y23">
            <v>1195075</v>
          </cell>
          <cell r="Z23">
            <v>1376361</v>
          </cell>
          <cell r="AA23">
            <v>1248323</v>
          </cell>
          <cell r="AB23">
            <v>1378489</v>
          </cell>
          <cell r="AC23">
            <v>1092859</v>
          </cell>
          <cell r="AD23">
            <v>976695</v>
          </cell>
          <cell r="AE23">
            <v>1099248</v>
          </cell>
          <cell r="AF23">
            <v>742959</v>
          </cell>
          <cell r="AG23">
            <v>948006</v>
          </cell>
          <cell r="AH23">
            <v>887207</v>
          </cell>
          <cell r="AI23">
            <v>1164146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14678303</v>
          </cell>
          <cell r="E25">
            <v>1617883</v>
          </cell>
          <cell r="F25">
            <v>1359033</v>
          </cell>
          <cell r="G25">
            <v>1293583</v>
          </cell>
          <cell r="H25">
            <v>1211222</v>
          </cell>
          <cell r="I25">
            <v>1421189</v>
          </cell>
          <cell r="J25">
            <v>1066734</v>
          </cell>
          <cell r="K25">
            <v>1116933</v>
          </cell>
          <cell r="L25">
            <v>1112002</v>
          </cell>
          <cell r="M25">
            <v>937227</v>
          </cell>
          <cell r="N25">
            <v>927348</v>
          </cell>
          <cell r="O25">
            <v>1128668</v>
          </cell>
          <cell r="P25">
            <v>1486481</v>
          </cell>
          <cell r="T25">
            <v>22</v>
          </cell>
          <cell r="U25" t="str">
            <v>Total Deliveries</v>
          </cell>
          <cell r="V25"/>
          <cell r="W25">
            <v>15150032</v>
          </cell>
          <cell r="X25">
            <v>1511538</v>
          </cell>
          <cell r="Y25">
            <v>1356026</v>
          </cell>
          <cell r="Z25">
            <v>1585070</v>
          </cell>
          <cell r="AA25">
            <v>1391592</v>
          </cell>
          <cell r="AB25">
            <v>1509918</v>
          </cell>
          <cell r="AC25">
            <v>1211872</v>
          </cell>
          <cell r="AD25">
            <v>1099794</v>
          </cell>
          <cell r="AE25">
            <v>1213254</v>
          </cell>
          <cell r="AF25">
            <v>852214</v>
          </cell>
          <cell r="AG25">
            <v>1069418</v>
          </cell>
          <cell r="AH25">
            <v>1028598</v>
          </cell>
          <cell r="AI25">
            <v>1320738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15357</v>
          </cell>
          <cell r="F28">
            <v>15419</v>
          </cell>
          <cell r="G28">
            <v>15473</v>
          </cell>
          <cell r="H28">
            <v>15559</v>
          </cell>
          <cell r="I28">
            <v>15377</v>
          </cell>
          <cell r="J28">
            <v>15422</v>
          </cell>
          <cell r="K28">
            <v>15086</v>
          </cell>
          <cell r="L28">
            <v>15123</v>
          </cell>
          <cell r="M28">
            <v>15103</v>
          </cell>
          <cell r="N28">
            <v>15137</v>
          </cell>
          <cell r="O28">
            <v>15294</v>
          </cell>
          <cell r="P28">
            <v>15345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1465717</v>
          </cell>
          <cell r="F29">
            <v>1348223</v>
          </cell>
          <cell r="G29">
            <v>1540057</v>
          </cell>
          <cell r="H29">
            <v>1300604</v>
          </cell>
          <cell r="I29">
            <v>1519650</v>
          </cell>
          <cell r="J29">
            <v>1203619</v>
          </cell>
          <cell r="K29">
            <v>1058233</v>
          </cell>
          <cell r="L29">
            <v>1184460</v>
          </cell>
          <cell r="M29">
            <v>972146</v>
          </cell>
          <cell r="N29">
            <v>1060697</v>
          </cell>
          <cell r="O29">
            <v>1226308</v>
          </cell>
          <cell r="P29">
            <v>1488083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1505145</v>
          </cell>
          <cell r="F30">
            <v>1384490</v>
          </cell>
          <cell r="G30">
            <v>1581485</v>
          </cell>
          <cell r="H30">
            <v>1335590</v>
          </cell>
          <cell r="I30">
            <v>1560529</v>
          </cell>
          <cell r="J30">
            <v>1235996</v>
          </cell>
          <cell r="K30">
            <v>1086699</v>
          </cell>
          <cell r="L30">
            <v>1216322</v>
          </cell>
          <cell r="M30">
            <v>998297</v>
          </cell>
          <cell r="N30">
            <v>1089230</v>
          </cell>
          <cell r="O30">
            <v>1259296</v>
          </cell>
          <cell r="P30">
            <v>1528112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14264</v>
          </cell>
          <cell r="F34">
            <v>14313</v>
          </cell>
          <cell r="G34">
            <v>14349</v>
          </cell>
          <cell r="H34">
            <v>14384</v>
          </cell>
          <cell r="I34">
            <v>14387</v>
          </cell>
          <cell r="J34">
            <v>14368</v>
          </cell>
          <cell r="K34">
            <v>14356</v>
          </cell>
          <cell r="L34">
            <v>14357</v>
          </cell>
          <cell r="M34">
            <v>14364</v>
          </cell>
          <cell r="N34">
            <v>14374</v>
          </cell>
          <cell r="O34">
            <v>14389</v>
          </cell>
          <cell r="P34">
            <v>14412</v>
          </cell>
          <cell r="T34">
            <v>31</v>
          </cell>
          <cell r="U34" t="str">
            <v>Residential</v>
          </cell>
          <cell r="V34"/>
          <cell r="W34"/>
          <cell r="X34">
            <v>13904</v>
          </cell>
          <cell r="Y34">
            <v>13936</v>
          </cell>
          <cell r="Z34">
            <v>13960</v>
          </cell>
          <cell r="AA34">
            <v>13989</v>
          </cell>
          <cell r="AB34">
            <v>13971</v>
          </cell>
          <cell r="AC34">
            <v>13967</v>
          </cell>
          <cell r="AD34">
            <v>13960</v>
          </cell>
          <cell r="AE34">
            <v>13957</v>
          </cell>
          <cell r="AF34">
            <v>13950</v>
          </cell>
          <cell r="AG34">
            <v>13949</v>
          </cell>
          <cell r="AH34">
            <v>13955</v>
          </cell>
          <cell r="AI34">
            <v>13970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1349</v>
          </cell>
          <cell r="F35">
            <v>1342</v>
          </cell>
          <cell r="G35">
            <v>1346</v>
          </cell>
          <cell r="H35">
            <v>1360</v>
          </cell>
          <cell r="I35">
            <v>1359</v>
          </cell>
          <cell r="J35">
            <v>1354</v>
          </cell>
          <cell r="K35">
            <v>1351</v>
          </cell>
          <cell r="L35">
            <v>1356</v>
          </cell>
          <cell r="M35">
            <v>1363</v>
          </cell>
          <cell r="N35">
            <v>1365</v>
          </cell>
          <cell r="O35">
            <v>1364</v>
          </cell>
          <cell r="P35">
            <v>1363</v>
          </cell>
          <cell r="T35">
            <v>32</v>
          </cell>
          <cell r="U35" t="str">
            <v>Commercial</v>
          </cell>
          <cell r="V35"/>
          <cell r="W35"/>
          <cell r="X35">
            <v>1275</v>
          </cell>
          <cell r="Y35">
            <v>1272</v>
          </cell>
          <cell r="Z35">
            <v>1275</v>
          </cell>
          <cell r="AA35">
            <v>1280</v>
          </cell>
          <cell r="AB35">
            <v>1283</v>
          </cell>
          <cell r="AC35">
            <v>1284</v>
          </cell>
          <cell r="AD35">
            <v>1287</v>
          </cell>
          <cell r="AE35">
            <v>1288</v>
          </cell>
          <cell r="AF35">
            <v>1291</v>
          </cell>
          <cell r="AG35">
            <v>1293</v>
          </cell>
          <cell r="AH35">
            <v>1296</v>
          </cell>
          <cell r="AI35">
            <v>1299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59</v>
          </cell>
          <cell r="F36">
            <v>63</v>
          </cell>
          <cell r="G36">
            <v>61</v>
          </cell>
          <cell r="H36">
            <v>60</v>
          </cell>
          <cell r="I36">
            <v>60</v>
          </cell>
          <cell r="J36">
            <v>60</v>
          </cell>
          <cell r="K36">
            <v>60</v>
          </cell>
          <cell r="L36">
            <v>60</v>
          </cell>
          <cell r="M36">
            <v>60</v>
          </cell>
          <cell r="N36">
            <v>60</v>
          </cell>
          <cell r="O36">
            <v>60</v>
          </cell>
          <cell r="P36">
            <v>60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57</v>
          </cell>
          <cell r="Y36">
            <v>59</v>
          </cell>
          <cell r="Z36">
            <v>58</v>
          </cell>
          <cell r="AA36">
            <v>58</v>
          </cell>
          <cell r="AB36">
            <v>58</v>
          </cell>
          <cell r="AC36">
            <v>57</v>
          </cell>
          <cell r="AD36">
            <v>57</v>
          </cell>
          <cell r="AE36">
            <v>57</v>
          </cell>
          <cell r="AF36">
            <v>58</v>
          </cell>
          <cell r="AG36">
            <v>58</v>
          </cell>
          <cell r="AH36">
            <v>58</v>
          </cell>
          <cell r="AI36">
            <v>58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15672</v>
          </cell>
          <cell r="F38">
            <v>15718</v>
          </cell>
          <cell r="G38">
            <v>15756</v>
          </cell>
          <cell r="H38">
            <v>15804</v>
          </cell>
          <cell r="I38">
            <v>15806</v>
          </cell>
          <cell r="J38">
            <v>15782</v>
          </cell>
          <cell r="K38">
            <v>15767</v>
          </cell>
          <cell r="L38">
            <v>15773</v>
          </cell>
          <cell r="M38">
            <v>15787</v>
          </cell>
          <cell r="N38">
            <v>15799</v>
          </cell>
          <cell r="O38">
            <v>15813</v>
          </cell>
          <cell r="P38">
            <v>15835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15236</v>
          </cell>
          <cell r="Y38">
            <v>15267</v>
          </cell>
          <cell r="Z38">
            <v>15293</v>
          </cell>
          <cell r="AA38">
            <v>15327</v>
          </cell>
          <cell r="AB38">
            <v>15312</v>
          </cell>
          <cell r="AC38">
            <v>15308</v>
          </cell>
          <cell r="AD38">
            <v>15304</v>
          </cell>
          <cell r="AE38">
            <v>15302</v>
          </cell>
          <cell r="AF38">
            <v>15299</v>
          </cell>
          <cell r="AG38">
            <v>15300</v>
          </cell>
          <cell r="AH38">
            <v>15309</v>
          </cell>
          <cell r="AI38">
            <v>15327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52421</v>
          </cell>
          <cell r="F41">
            <v>94695</v>
          </cell>
          <cell r="G41">
            <v>133077</v>
          </cell>
          <cell r="H41">
            <v>167698</v>
          </cell>
          <cell r="I41">
            <v>187681.73746226507</v>
          </cell>
          <cell r="J41">
            <v>204125.88976531307</v>
          </cell>
          <cell r="K41">
            <v>219554.75333528093</v>
          </cell>
          <cell r="L41">
            <v>233809.40325250753</v>
          </cell>
          <cell r="M41">
            <v>247943.59353393706</v>
          </cell>
          <cell r="N41">
            <v>266637.8188723342</v>
          </cell>
          <cell r="O41">
            <v>293922.07245106628</v>
          </cell>
          <cell r="P41">
            <v>333709.19875352998</v>
          </cell>
          <cell r="T41">
            <v>38</v>
          </cell>
          <cell r="U41" t="str">
            <v>Residential</v>
          </cell>
          <cell r="W41"/>
          <cell r="X41">
            <v>39919</v>
          </cell>
          <cell r="Y41">
            <v>77853</v>
          </cell>
          <cell r="Z41">
            <v>123515</v>
          </cell>
          <cell r="AA41">
            <v>155767</v>
          </cell>
          <cell r="AB41">
            <v>174503</v>
          </cell>
          <cell r="AC41">
            <v>193501</v>
          </cell>
          <cell r="AD41">
            <v>210589</v>
          </cell>
          <cell r="AE41">
            <v>232290</v>
          </cell>
          <cell r="AF41">
            <v>245896</v>
          </cell>
          <cell r="AG41">
            <v>263548</v>
          </cell>
          <cell r="AH41">
            <v>286647</v>
          </cell>
          <cell r="AI41">
            <v>316364</v>
          </cell>
        </row>
        <row r="42">
          <cell r="A42">
            <v>39</v>
          </cell>
          <cell r="B42" t="str">
            <v>Commercial</v>
          </cell>
          <cell r="D42"/>
          <cell r="E42">
            <v>150373</v>
          </cell>
          <cell r="F42">
            <v>269274</v>
          </cell>
          <cell r="G42">
            <v>395071</v>
          </cell>
          <cell r="H42">
            <v>513000</v>
          </cell>
          <cell r="I42">
            <v>614835.4270133411</v>
          </cell>
          <cell r="J42">
            <v>709970.78586035641</v>
          </cell>
          <cell r="K42">
            <v>802976.23916642321</v>
          </cell>
          <cell r="L42">
            <v>896679.22874671337</v>
          </cell>
          <cell r="M42">
            <v>993251.63112279668</v>
          </cell>
          <cell r="N42">
            <v>1104587.2042068359</v>
          </cell>
          <cell r="O42">
            <v>1228659.4605122211</v>
          </cell>
          <cell r="P42">
            <v>1672129.6133995519</v>
          </cell>
          <cell r="T42">
            <v>39</v>
          </cell>
          <cell r="U42" t="str">
            <v>Commercial</v>
          </cell>
          <cell r="W42"/>
          <cell r="X42">
            <v>121886</v>
          </cell>
          <cell r="Y42">
            <v>240687</v>
          </cell>
          <cell r="Z42">
            <v>398267</v>
          </cell>
          <cell r="AA42">
            <v>505531</v>
          </cell>
          <cell r="AB42">
            <v>614781</v>
          </cell>
          <cell r="AC42">
            <v>711678</v>
          </cell>
          <cell r="AD42">
            <v>814464</v>
          </cell>
          <cell r="AE42">
            <v>903782</v>
          </cell>
          <cell r="AF42">
            <v>996569</v>
          </cell>
          <cell r="AG42">
            <v>1097148</v>
          </cell>
          <cell r="AH42">
            <v>1211737</v>
          </cell>
          <cell r="AI42">
            <v>1334510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1372708</v>
          </cell>
          <cell r="F43">
            <v>2534966</v>
          </cell>
          <cell r="G43">
            <v>3630485</v>
          </cell>
          <cell r="H43">
            <v>4657429</v>
          </cell>
          <cell r="I43">
            <v>5919570.0069140131</v>
          </cell>
          <cell r="J43">
            <v>6846780.2513389811</v>
          </cell>
          <cell r="K43">
            <v>7826020.5863277819</v>
          </cell>
          <cell r="L43">
            <v>8800935.1836595573</v>
          </cell>
          <cell r="M43">
            <v>9602904.800954327</v>
          </cell>
          <cell r="N43">
            <v>10375929.925114421</v>
          </cell>
          <cell r="O43">
            <v>11323675.37257766</v>
          </cell>
          <cell r="P43">
            <v>12287960.11305872</v>
          </cell>
          <cell r="T43">
            <v>40</v>
          </cell>
          <cell r="U43" t="str">
            <v xml:space="preserve">Industrial </v>
          </cell>
          <cell r="W43"/>
          <cell r="X43">
            <v>1310137</v>
          </cell>
          <cell r="Y43">
            <v>2473907</v>
          </cell>
          <cell r="Z43">
            <v>3814214</v>
          </cell>
          <cell r="AA43">
            <v>5029837</v>
          </cell>
          <cell r="AB43">
            <v>6372216</v>
          </cell>
          <cell r="AC43">
            <v>7436447</v>
          </cell>
          <cell r="AD43">
            <v>8387557</v>
          </cell>
          <cell r="AE43">
            <v>9458010</v>
          </cell>
          <cell r="AF43">
            <v>10181507</v>
          </cell>
          <cell r="AG43">
            <v>11104680</v>
          </cell>
          <cell r="AH43">
            <v>11968646</v>
          </cell>
          <cell r="AI43">
            <v>13102297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1575502</v>
          </cell>
          <cell r="F45">
            <v>2898935</v>
          </cell>
          <cell r="G45">
            <v>4158633</v>
          </cell>
          <cell r="H45">
            <v>5338127</v>
          </cell>
          <cell r="I45">
            <v>6722087.1713896189</v>
          </cell>
          <cell r="J45">
            <v>7760876.9269646509</v>
          </cell>
          <cell r="K45">
            <v>8848551.5788294859</v>
          </cell>
          <cell r="L45">
            <v>9931423.815658778</v>
          </cell>
          <cell r="M45">
            <v>10844100.025611062</v>
          </cell>
          <cell r="N45">
            <v>11747154.948193591</v>
          </cell>
          <cell r="O45">
            <v>12846256.905540947</v>
          </cell>
          <cell r="P45">
            <v>14293798.925211802</v>
          </cell>
          <cell r="T45">
            <v>42</v>
          </cell>
          <cell r="U45" t="str">
            <v>Total customers</v>
          </cell>
          <cell r="V45"/>
          <cell r="W45"/>
          <cell r="X45">
            <v>1471942</v>
          </cell>
          <cell r="Y45">
            <v>2792447</v>
          </cell>
          <cell r="Z45">
            <v>4335996</v>
          </cell>
          <cell r="AA45">
            <v>5691135</v>
          </cell>
          <cell r="AB45">
            <v>7161500</v>
          </cell>
          <cell r="AC45">
            <v>8341626</v>
          </cell>
          <cell r="AD45">
            <v>9412610</v>
          </cell>
          <cell r="AE45">
            <v>10594082</v>
          </cell>
          <cell r="AF45">
            <v>11423972</v>
          </cell>
          <cell r="AG45">
            <v>12465376</v>
          </cell>
          <cell r="AH45">
            <v>13467030</v>
          </cell>
          <cell r="AI45">
            <v>14753171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53831</v>
          </cell>
          <cell r="F48">
            <v>97242</v>
          </cell>
          <cell r="G48">
            <v>136656</v>
          </cell>
          <cell r="H48">
            <v>172208</v>
          </cell>
          <cell r="I48">
            <v>192729</v>
          </cell>
          <cell r="J48">
            <v>209616</v>
          </cell>
          <cell r="K48">
            <v>225460</v>
          </cell>
          <cell r="L48">
            <v>240098</v>
          </cell>
          <cell r="M48">
            <v>254612</v>
          </cell>
          <cell r="N48">
            <v>273809</v>
          </cell>
          <cell r="O48">
            <v>301827</v>
          </cell>
          <cell r="P48">
            <v>342684</v>
          </cell>
          <cell r="T48">
            <v>45</v>
          </cell>
          <cell r="U48" t="str">
            <v>Residential</v>
          </cell>
          <cell r="W48"/>
          <cell r="X48">
            <v>40993</v>
          </cell>
          <cell r="Y48">
            <v>79947</v>
          </cell>
          <cell r="Z48">
            <v>126837</v>
          </cell>
          <cell r="AA48">
            <v>159957</v>
          </cell>
          <cell r="AB48">
            <v>179197</v>
          </cell>
          <cell r="AC48">
            <v>198706</v>
          </cell>
          <cell r="AD48">
            <v>216254</v>
          </cell>
          <cell r="AE48">
            <v>238539</v>
          </cell>
          <cell r="AF48">
            <v>252511</v>
          </cell>
          <cell r="AG48">
            <v>270638</v>
          </cell>
          <cell r="AH48">
            <v>294358</v>
          </cell>
          <cell r="AI48">
            <v>324874</v>
          </cell>
        </row>
        <row r="49">
          <cell r="A49">
            <v>46</v>
          </cell>
          <cell r="B49" t="str">
            <v>Commercial</v>
          </cell>
          <cell r="D49"/>
          <cell r="E49">
            <v>154418</v>
          </cell>
          <cell r="F49">
            <v>276517</v>
          </cell>
          <cell r="G49">
            <v>405698</v>
          </cell>
          <cell r="H49">
            <v>526799</v>
          </cell>
          <cell r="I49">
            <v>631374</v>
          </cell>
          <cell r="J49">
            <v>729069</v>
          </cell>
          <cell r="K49">
            <v>824576</v>
          </cell>
          <cell r="L49">
            <v>920800</v>
          </cell>
          <cell r="M49">
            <v>1019970</v>
          </cell>
          <cell r="N49">
            <v>1134301</v>
          </cell>
          <cell r="O49">
            <v>1261711</v>
          </cell>
          <cell r="P49">
            <v>1717111</v>
          </cell>
          <cell r="T49">
            <v>46</v>
          </cell>
          <cell r="U49" t="str">
            <v>Commercial</v>
          </cell>
          <cell r="W49"/>
          <cell r="X49">
            <v>125165</v>
          </cell>
          <cell r="Y49">
            <v>247162</v>
          </cell>
          <cell r="Z49">
            <v>408981</v>
          </cell>
          <cell r="AA49">
            <v>519130</v>
          </cell>
          <cell r="AB49">
            <v>631319</v>
          </cell>
          <cell r="AC49">
            <v>730823</v>
          </cell>
          <cell r="AD49">
            <v>836374</v>
          </cell>
          <cell r="AE49">
            <v>928095</v>
          </cell>
          <cell r="AF49">
            <v>1023378</v>
          </cell>
          <cell r="AG49">
            <v>1126663</v>
          </cell>
          <cell r="AH49">
            <v>1244334</v>
          </cell>
          <cell r="AI49">
            <v>1370410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1409634</v>
          </cell>
          <cell r="F50">
            <v>2603157</v>
          </cell>
          <cell r="G50">
            <v>3728145</v>
          </cell>
          <cell r="H50">
            <v>4782714</v>
          </cell>
          <cell r="I50">
            <v>6078807</v>
          </cell>
          <cell r="J50">
            <v>7030959</v>
          </cell>
          <cell r="K50">
            <v>8036541</v>
          </cell>
          <cell r="L50">
            <v>9037681</v>
          </cell>
          <cell r="M50">
            <v>9861224</v>
          </cell>
          <cell r="N50">
            <v>10655044</v>
          </cell>
          <cell r="O50">
            <v>11628284</v>
          </cell>
          <cell r="P50">
            <v>12618508</v>
          </cell>
          <cell r="T50">
            <v>47</v>
          </cell>
          <cell r="U50" t="str">
            <v xml:space="preserve">Industrial </v>
          </cell>
          <cell r="W50"/>
          <cell r="X50">
            <v>1345380</v>
          </cell>
          <cell r="Y50">
            <v>2540455</v>
          </cell>
          <cell r="Z50">
            <v>3916816</v>
          </cell>
          <cell r="AA50">
            <v>5165139</v>
          </cell>
          <cell r="AB50">
            <v>6543628</v>
          </cell>
          <cell r="AC50">
            <v>7636487</v>
          </cell>
          <cell r="AD50">
            <v>8613182</v>
          </cell>
          <cell r="AE50">
            <v>9712430</v>
          </cell>
          <cell r="AF50">
            <v>10455389</v>
          </cell>
          <cell r="AG50">
            <v>11403395</v>
          </cell>
          <cell r="AH50">
            <v>12290602</v>
          </cell>
          <cell r="AI50">
            <v>13454748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1617883</v>
          </cell>
          <cell r="F52">
            <v>2976916</v>
          </cell>
          <cell r="G52">
            <v>4270499</v>
          </cell>
          <cell r="H52">
            <v>5481721</v>
          </cell>
          <cell r="I52">
            <v>6902910</v>
          </cell>
          <cell r="J52">
            <v>7969644</v>
          </cell>
          <cell r="K52">
            <v>9086577</v>
          </cell>
          <cell r="L52">
            <v>10198579</v>
          </cell>
          <cell r="M52">
            <v>11135806</v>
          </cell>
          <cell r="N52">
            <v>12063154</v>
          </cell>
          <cell r="O52">
            <v>13191822</v>
          </cell>
          <cell r="P52">
            <v>14678303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1511538</v>
          </cell>
          <cell r="Y52">
            <v>2867564</v>
          </cell>
          <cell r="Z52">
            <v>4452634</v>
          </cell>
          <cell r="AA52">
            <v>5844226</v>
          </cell>
          <cell r="AB52">
            <v>7354144</v>
          </cell>
          <cell r="AC52">
            <v>8566016</v>
          </cell>
          <cell r="AD52">
            <v>9665810</v>
          </cell>
          <cell r="AE52">
            <v>10879064</v>
          </cell>
          <cell r="AF52">
            <v>11731278</v>
          </cell>
          <cell r="AG52">
            <v>12800696</v>
          </cell>
          <cell r="AH52">
            <v>13829294</v>
          </cell>
          <cell r="AI52">
            <v>15150032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15357</v>
          </cell>
          <cell r="F55">
            <v>15388</v>
          </cell>
          <cell r="G55">
            <v>15416</v>
          </cell>
          <cell r="H55">
            <v>15452</v>
          </cell>
          <cell r="I55">
            <v>15437</v>
          </cell>
          <cell r="J55">
            <v>15435</v>
          </cell>
          <cell r="K55">
            <v>15385</v>
          </cell>
          <cell r="L55">
            <v>15352</v>
          </cell>
          <cell r="M55">
            <v>15324</v>
          </cell>
          <cell r="N55">
            <v>15306</v>
          </cell>
          <cell r="O55">
            <v>15305</v>
          </cell>
          <cell r="P55">
            <v>15308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1465717</v>
          </cell>
          <cell r="F56">
            <v>2813940</v>
          </cell>
          <cell r="G56">
            <v>4353997</v>
          </cell>
          <cell r="H56">
            <v>5654601</v>
          </cell>
          <cell r="I56">
            <v>7174251</v>
          </cell>
          <cell r="J56">
            <v>8377870</v>
          </cell>
          <cell r="K56">
            <v>9436103</v>
          </cell>
          <cell r="L56">
            <v>10620563</v>
          </cell>
          <cell r="M56">
            <v>11592709</v>
          </cell>
          <cell r="N56">
            <v>12653406</v>
          </cell>
          <cell r="O56">
            <v>13879714</v>
          </cell>
          <cell r="P56">
            <v>15367797</v>
          </cell>
        </row>
        <row r="57">
          <cell r="A57">
            <v>54</v>
          </cell>
          <cell r="B57" t="str">
            <v>Cumulative YTD Budget Volume (Dts) * 1.035</v>
          </cell>
          <cell r="E57">
            <v>1505145</v>
          </cell>
          <cell r="F57">
            <v>2889635</v>
          </cell>
          <cell r="G57">
            <v>4471120</v>
          </cell>
          <cell r="H57">
            <v>5806710</v>
          </cell>
          <cell r="I57">
            <v>7367239</v>
          </cell>
          <cell r="J57">
            <v>8603235</v>
          </cell>
          <cell r="K57">
            <v>9689934</v>
          </cell>
          <cell r="L57">
            <v>10906256</v>
          </cell>
          <cell r="M57">
            <v>11904553</v>
          </cell>
          <cell r="N57">
            <v>12993783</v>
          </cell>
          <cell r="O57">
            <v>14253079</v>
          </cell>
          <cell r="P57">
            <v>15781191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10933.25</v>
          </cell>
          <cell r="E5">
            <v>11220</v>
          </cell>
          <cell r="F5">
            <v>11298</v>
          </cell>
          <cell r="G5">
            <v>11331</v>
          </cell>
          <cell r="H5">
            <v>11233</v>
          </cell>
          <cell r="I5">
            <v>10980</v>
          </cell>
          <cell r="J5">
            <v>10695</v>
          </cell>
          <cell r="K5">
            <v>10609</v>
          </cell>
          <cell r="L5">
            <v>10569</v>
          </cell>
          <cell r="M5">
            <v>10609</v>
          </cell>
          <cell r="N5">
            <v>10626</v>
          </cell>
          <cell r="O5">
            <v>10844</v>
          </cell>
          <cell r="P5">
            <v>11185</v>
          </cell>
          <cell r="T5">
            <v>2</v>
          </cell>
          <cell r="U5" t="str">
            <v>Residential</v>
          </cell>
          <cell r="V5">
            <v>10806</v>
          </cell>
          <cell r="W5">
            <v>129675</v>
          </cell>
          <cell r="X5">
            <v>10988</v>
          </cell>
          <cell r="Y5">
            <v>11054</v>
          </cell>
          <cell r="Z5">
            <v>11084</v>
          </cell>
          <cell r="AA5">
            <v>11058</v>
          </cell>
          <cell r="AB5">
            <v>10841</v>
          </cell>
          <cell r="AC5">
            <v>10628</v>
          </cell>
          <cell r="AD5">
            <v>10546</v>
          </cell>
          <cell r="AE5">
            <v>10486</v>
          </cell>
          <cell r="AF5">
            <v>10520</v>
          </cell>
          <cell r="AG5">
            <v>10600</v>
          </cell>
          <cell r="AH5">
            <v>10792</v>
          </cell>
          <cell r="AI5">
            <v>11078</v>
          </cell>
        </row>
        <row r="6">
          <cell r="A6">
            <v>3</v>
          </cell>
          <cell r="B6" t="str">
            <v>Commercial</v>
          </cell>
          <cell r="C6"/>
          <cell r="D6">
            <v>1786.25</v>
          </cell>
          <cell r="E6">
            <v>1818</v>
          </cell>
          <cell r="F6">
            <v>1822</v>
          </cell>
          <cell r="G6">
            <v>1823</v>
          </cell>
          <cell r="H6">
            <v>1812</v>
          </cell>
          <cell r="I6">
            <v>1789</v>
          </cell>
          <cell r="J6">
            <v>1757</v>
          </cell>
          <cell r="K6">
            <v>1753</v>
          </cell>
          <cell r="L6">
            <v>1746</v>
          </cell>
          <cell r="M6">
            <v>1747</v>
          </cell>
          <cell r="N6">
            <v>1749</v>
          </cell>
          <cell r="O6">
            <v>1787</v>
          </cell>
          <cell r="P6">
            <v>1832</v>
          </cell>
          <cell r="T6">
            <v>3</v>
          </cell>
          <cell r="U6" t="str">
            <v>Commercial</v>
          </cell>
          <cell r="V6">
            <v>1774</v>
          </cell>
          <cell r="W6">
            <v>21291</v>
          </cell>
          <cell r="X6">
            <v>1789</v>
          </cell>
          <cell r="Y6">
            <v>1808</v>
          </cell>
          <cell r="Z6">
            <v>1812</v>
          </cell>
          <cell r="AA6">
            <v>1800</v>
          </cell>
          <cell r="AB6">
            <v>1772</v>
          </cell>
          <cell r="AC6">
            <v>1755</v>
          </cell>
          <cell r="AD6">
            <v>1747</v>
          </cell>
          <cell r="AE6">
            <v>1738</v>
          </cell>
          <cell r="AF6">
            <v>1740</v>
          </cell>
          <cell r="AG6">
            <v>1748</v>
          </cell>
          <cell r="AH6">
            <v>1777</v>
          </cell>
          <cell r="AI6">
            <v>1805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35.583333333333336</v>
          </cell>
          <cell r="E7">
            <v>35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37</v>
          </cell>
          <cell r="N7">
            <v>37</v>
          </cell>
          <cell r="O7">
            <v>37</v>
          </cell>
          <cell r="P7">
            <v>36</v>
          </cell>
          <cell r="T7">
            <v>4</v>
          </cell>
          <cell r="U7" t="str">
            <v xml:space="preserve">Industrial </v>
          </cell>
          <cell r="V7">
            <v>35</v>
          </cell>
          <cell r="W7">
            <v>423</v>
          </cell>
          <cell r="X7">
            <v>36</v>
          </cell>
          <cell r="Y7">
            <v>36</v>
          </cell>
          <cell r="Z7">
            <v>36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35</v>
          </cell>
          <cell r="AG7">
            <v>35</v>
          </cell>
          <cell r="AH7">
            <v>35</v>
          </cell>
          <cell r="AI7">
            <v>35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/>
          <cell r="O8">
            <v>0</v>
          </cell>
          <cell r="P8"/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12755.083333333334</v>
          </cell>
          <cell r="E9">
            <v>13073</v>
          </cell>
          <cell r="F9">
            <v>13155</v>
          </cell>
          <cell r="G9">
            <v>13189</v>
          </cell>
          <cell r="H9">
            <v>13080</v>
          </cell>
          <cell r="I9">
            <v>12804</v>
          </cell>
          <cell r="J9">
            <v>12487</v>
          </cell>
          <cell r="K9">
            <v>12397</v>
          </cell>
          <cell r="L9">
            <v>12350</v>
          </cell>
          <cell r="M9">
            <v>12393</v>
          </cell>
          <cell r="N9">
            <v>12412</v>
          </cell>
          <cell r="O9">
            <v>12668</v>
          </cell>
          <cell r="P9">
            <v>13053</v>
          </cell>
          <cell r="T9">
            <v>6</v>
          </cell>
          <cell r="U9" t="str">
            <v>Total customers</v>
          </cell>
          <cell r="V9">
            <v>12615</v>
          </cell>
          <cell r="W9">
            <v>151389</v>
          </cell>
          <cell r="X9">
            <v>12813</v>
          </cell>
          <cell r="Y9">
            <v>12898</v>
          </cell>
          <cell r="Z9">
            <v>12932</v>
          </cell>
          <cell r="AA9">
            <v>12893</v>
          </cell>
          <cell r="AB9">
            <v>12648</v>
          </cell>
          <cell r="AC9">
            <v>12418</v>
          </cell>
          <cell r="AD9">
            <v>12328</v>
          </cell>
          <cell r="AE9">
            <v>12259</v>
          </cell>
          <cell r="AF9">
            <v>12295</v>
          </cell>
          <cell r="AG9">
            <v>12383</v>
          </cell>
          <cell r="AH9">
            <v>12604</v>
          </cell>
          <cell r="AI9">
            <v>12918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- 2014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563905</v>
          </cell>
          <cell r="D12"/>
          <cell r="E12">
            <v>100180</v>
          </cell>
          <cell r="F12">
            <v>127855</v>
          </cell>
          <cell r="G12">
            <v>101744</v>
          </cell>
          <cell r="H12">
            <v>57904</v>
          </cell>
          <cell r="I12">
            <v>24576</v>
          </cell>
          <cell r="J12">
            <v>11068</v>
          </cell>
          <cell r="K12">
            <v>8949</v>
          </cell>
          <cell r="L12">
            <v>8169</v>
          </cell>
          <cell r="M12">
            <v>9583</v>
          </cell>
          <cell r="N12">
            <v>11236</v>
          </cell>
          <cell r="O12">
            <v>31544</v>
          </cell>
          <cell r="P12">
            <v>71097</v>
          </cell>
          <cell r="T12">
            <v>9</v>
          </cell>
          <cell r="U12" t="str">
            <v>Residential</v>
          </cell>
          <cell r="W12">
            <v>533386</v>
          </cell>
          <cell r="X12">
            <v>89494</v>
          </cell>
          <cell r="Y12">
            <v>102130</v>
          </cell>
          <cell r="Z12">
            <v>89615</v>
          </cell>
          <cell r="AA12">
            <v>66051</v>
          </cell>
          <cell r="AB12">
            <v>25215</v>
          </cell>
          <cell r="AC12">
            <v>12206</v>
          </cell>
          <cell r="AD12">
            <v>8832</v>
          </cell>
          <cell r="AE12">
            <v>8807</v>
          </cell>
          <cell r="AF12">
            <v>9291</v>
          </cell>
          <cell r="AG12">
            <v>11914</v>
          </cell>
          <cell r="AH12">
            <v>35295</v>
          </cell>
          <cell r="AI12">
            <v>74536</v>
          </cell>
        </row>
        <row r="13">
          <cell r="A13">
            <v>10</v>
          </cell>
          <cell r="B13" t="str">
            <v>Commercial</v>
          </cell>
          <cell r="C13">
            <v>869825</v>
          </cell>
          <cell r="D13"/>
          <cell r="E13">
            <v>129500</v>
          </cell>
          <cell r="F13">
            <v>144959</v>
          </cell>
          <cell r="G13">
            <v>127695</v>
          </cell>
          <cell r="H13">
            <v>78637</v>
          </cell>
          <cell r="I13">
            <v>48575</v>
          </cell>
          <cell r="J13">
            <v>34129</v>
          </cell>
          <cell r="K13">
            <v>33106</v>
          </cell>
          <cell r="L13">
            <v>30981</v>
          </cell>
          <cell r="M13">
            <v>34964</v>
          </cell>
          <cell r="N13">
            <v>42033</v>
          </cell>
          <cell r="O13">
            <v>62710</v>
          </cell>
          <cell r="P13">
            <v>102536</v>
          </cell>
          <cell r="T13">
            <v>10</v>
          </cell>
          <cell r="U13" t="str">
            <v>Commercial</v>
          </cell>
          <cell r="W13">
            <v>836749</v>
          </cell>
          <cell r="X13">
            <v>117589</v>
          </cell>
          <cell r="Y13">
            <v>121251</v>
          </cell>
          <cell r="Z13">
            <v>113194</v>
          </cell>
          <cell r="AA13">
            <v>81481</v>
          </cell>
          <cell r="AB13">
            <v>50047</v>
          </cell>
          <cell r="AC13">
            <v>34110</v>
          </cell>
          <cell r="AD13">
            <v>31670</v>
          </cell>
          <cell r="AE13">
            <v>34560</v>
          </cell>
          <cell r="AF13">
            <v>35332</v>
          </cell>
          <cell r="AG13">
            <v>45131</v>
          </cell>
          <cell r="AH13">
            <v>64613</v>
          </cell>
          <cell r="AI13">
            <v>107771</v>
          </cell>
        </row>
        <row r="14">
          <cell r="A14">
            <v>11</v>
          </cell>
          <cell r="B14" t="str">
            <v xml:space="preserve">Industrial </v>
          </cell>
          <cell r="C14">
            <v>1374405</v>
          </cell>
          <cell r="D14"/>
          <cell r="E14">
            <v>113534</v>
          </cell>
          <cell r="F14">
            <v>116424</v>
          </cell>
          <cell r="G14">
            <v>111908</v>
          </cell>
          <cell r="H14">
            <v>107383</v>
          </cell>
          <cell r="I14">
            <v>106482</v>
          </cell>
          <cell r="J14">
            <v>95609</v>
          </cell>
          <cell r="K14">
            <v>103661</v>
          </cell>
          <cell r="L14">
            <v>95621</v>
          </cell>
          <cell r="M14">
            <v>116124</v>
          </cell>
          <cell r="N14">
            <v>136785</v>
          </cell>
          <cell r="O14">
            <v>126559</v>
          </cell>
          <cell r="P14">
            <v>144315</v>
          </cell>
          <cell r="T14">
            <v>11</v>
          </cell>
          <cell r="U14" t="str">
            <v xml:space="preserve">Industrial </v>
          </cell>
          <cell r="W14">
            <v>1272782</v>
          </cell>
          <cell r="X14">
            <v>119756</v>
          </cell>
          <cell r="Y14">
            <v>109558</v>
          </cell>
          <cell r="Z14">
            <v>109664</v>
          </cell>
          <cell r="AA14">
            <v>105482</v>
          </cell>
          <cell r="AB14">
            <v>90209</v>
          </cell>
          <cell r="AC14">
            <v>64055</v>
          </cell>
          <cell r="AD14">
            <v>90781</v>
          </cell>
          <cell r="AE14">
            <v>96637</v>
          </cell>
          <cell r="AF14">
            <v>110593</v>
          </cell>
          <cell r="AG14">
            <v>128006</v>
          </cell>
          <cell r="AH14">
            <v>118095</v>
          </cell>
          <cell r="AI14">
            <v>129946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C16">
            <v>2808135</v>
          </cell>
          <cell r="D16"/>
          <cell r="E16">
            <v>343214</v>
          </cell>
          <cell r="F16">
            <v>389238</v>
          </cell>
          <cell r="G16">
            <v>341347</v>
          </cell>
          <cell r="H16">
            <v>243924</v>
          </cell>
          <cell r="I16">
            <v>179633</v>
          </cell>
          <cell r="J16">
            <v>140806</v>
          </cell>
          <cell r="K16">
            <v>145716</v>
          </cell>
          <cell r="L16">
            <v>134771</v>
          </cell>
          <cell r="M16">
            <v>160671</v>
          </cell>
          <cell r="N16">
            <v>190054</v>
          </cell>
          <cell r="O16">
            <v>220813</v>
          </cell>
          <cell r="P16">
            <v>317948</v>
          </cell>
          <cell r="T16">
            <v>13</v>
          </cell>
          <cell r="U16" t="str">
            <v>Total Deliveries</v>
          </cell>
          <cell r="V16"/>
          <cell r="W16">
            <v>2642917</v>
          </cell>
          <cell r="X16">
            <v>326839</v>
          </cell>
          <cell r="Y16">
            <v>332939</v>
          </cell>
          <cell r="Z16">
            <v>312473</v>
          </cell>
          <cell r="AA16">
            <v>253014</v>
          </cell>
          <cell r="AB16">
            <v>165471</v>
          </cell>
          <cell r="AC16">
            <v>110371</v>
          </cell>
          <cell r="AD16">
            <v>131283</v>
          </cell>
          <cell r="AE16">
            <v>140004</v>
          </cell>
          <cell r="AF16">
            <v>155216</v>
          </cell>
          <cell r="AG16">
            <v>185051</v>
          </cell>
          <cell r="AH16">
            <v>218003</v>
          </cell>
          <cell r="AI16">
            <v>312253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  <cell r="T18">
            <v>15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  <cell r="X19">
            <v>1.0380400000000001</v>
          </cell>
          <cell r="Y19">
            <v>1.0367999999999999</v>
          </cell>
          <cell r="Z19">
            <v>1.0362800000000001</v>
          </cell>
          <cell r="AA19">
            <v>1.02982</v>
          </cell>
          <cell r="AB19">
            <v>1.03478</v>
          </cell>
          <cell r="AC19">
            <v>1.0458799999999999</v>
          </cell>
          <cell r="AD19">
            <v>1.0603199999999999</v>
          </cell>
          <cell r="AE19">
            <v>1.06446</v>
          </cell>
          <cell r="AF19">
            <v>1.07433</v>
          </cell>
          <cell r="AG19">
            <v>1.0718000000000001</v>
          </cell>
          <cell r="AH19">
            <v>1.0765</v>
          </cell>
          <cell r="AI19">
            <v>1.0692900000000001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597414</v>
          </cell>
          <cell r="E21">
            <v>106677</v>
          </cell>
          <cell r="F21">
            <v>134714</v>
          </cell>
          <cell r="G21">
            <v>107168</v>
          </cell>
          <cell r="H21">
            <v>61173</v>
          </cell>
          <cell r="I21">
            <v>25999</v>
          </cell>
          <cell r="J21">
            <v>11728</v>
          </cell>
          <cell r="K21">
            <v>9549</v>
          </cell>
          <cell r="L21">
            <v>8713</v>
          </cell>
          <cell r="M21">
            <v>10198</v>
          </cell>
          <cell r="N21">
            <v>11965</v>
          </cell>
          <cell r="O21">
            <v>33665</v>
          </cell>
          <cell r="P21">
            <v>75865</v>
          </cell>
          <cell r="T21">
            <v>18</v>
          </cell>
          <cell r="U21" t="str">
            <v>Residential</v>
          </cell>
          <cell r="W21">
            <v>557718</v>
          </cell>
          <cell r="X21">
            <v>92898</v>
          </cell>
          <cell r="Y21">
            <v>105888</v>
          </cell>
          <cell r="Z21">
            <v>92866</v>
          </cell>
          <cell r="AA21">
            <v>68021</v>
          </cell>
          <cell r="AB21">
            <v>26092</v>
          </cell>
          <cell r="AC21">
            <v>12766</v>
          </cell>
          <cell r="AD21">
            <v>9365</v>
          </cell>
          <cell r="AE21">
            <v>9375</v>
          </cell>
          <cell r="AF21">
            <v>9982</v>
          </cell>
          <cell r="AG21">
            <v>12769</v>
          </cell>
          <cell r="AH21">
            <v>37995</v>
          </cell>
          <cell r="AI21">
            <v>79701</v>
          </cell>
        </row>
        <row r="22">
          <cell r="A22">
            <v>19</v>
          </cell>
          <cell r="B22" t="str">
            <v>Commercial</v>
          </cell>
          <cell r="D22">
            <v>922440</v>
          </cell>
          <cell r="E22">
            <v>137898</v>
          </cell>
          <cell r="F22">
            <v>152736</v>
          </cell>
          <cell r="G22">
            <v>134502</v>
          </cell>
          <cell r="H22">
            <v>83076</v>
          </cell>
          <cell r="I22">
            <v>51387</v>
          </cell>
          <cell r="J22">
            <v>36163</v>
          </cell>
          <cell r="K22">
            <v>35326</v>
          </cell>
          <cell r="L22">
            <v>33044</v>
          </cell>
          <cell r="M22">
            <v>37209</v>
          </cell>
          <cell r="N22">
            <v>44759</v>
          </cell>
          <cell r="O22">
            <v>66927</v>
          </cell>
          <cell r="P22">
            <v>109413</v>
          </cell>
          <cell r="T22">
            <v>19</v>
          </cell>
          <cell r="U22" t="str">
            <v>Commercial</v>
          </cell>
          <cell r="W22">
            <v>877941</v>
          </cell>
          <cell r="X22">
            <v>122062</v>
          </cell>
          <cell r="Y22">
            <v>125713</v>
          </cell>
          <cell r="Z22">
            <v>117301</v>
          </cell>
          <cell r="AA22">
            <v>83911</v>
          </cell>
          <cell r="AB22">
            <v>51788</v>
          </cell>
          <cell r="AC22">
            <v>35675</v>
          </cell>
          <cell r="AD22">
            <v>33580</v>
          </cell>
          <cell r="AE22">
            <v>36788</v>
          </cell>
          <cell r="AF22">
            <v>37958</v>
          </cell>
          <cell r="AG22">
            <v>48371</v>
          </cell>
          <cell r="AH22">
            <v>69556</v>
          </cell>
          <cell r="AI22">
            <v>115238</v>
          </cell>
        </row>
        <row r="23">
          <cell r="A23">
            <v>20</v>
          </cell>
          <cell r="B23" t="str">
            <v xml:space="preserve">Industrial </v>
          </cell>
          <cell r="D23">
            <v>1459739</v>
          </cell>
          <cell r="E23">
            <v>120897</v>
          </cell>
          <cell r="F23">
            <v>122670</v>
          </cell>
          <cell r="G23">
            <v>117874</v>
          </cell>
          <cell r="H23">
            <v>113445</v>
          </cell>
          <cell r="I23">
            <v>112646</v>
          </cell>
          <cell r="J23">
            <v>101306</v>
          </cell>
          <cell r="K23">
            <v>110611</v>
          </cell>
          <cell r="L23">
            <v>101989</v>
          </cell>
          <cell r="M23">
            <v>123581</v>
          </cell>
          <cell r="N23">
            <v>145657</v>
          </cell>
          <cell r="O23">
            <v>135069</v>
          </cell>
          <cell r="P23">
            <v>153994</v>
          </cell>
          <cell r="T23">
            <v>20</v>
          </cell>
          <cell r="U23" t="str">
            <v xml:space="preserve">Industrial </v>
          </cell>
          <cell r="W23">
            <v>1341724</v>
          </cell>
          <cell r="X23">
            <v>124312</v>
          </cell>
          <cell r="Y23">
            <v>113590</v>
          </cell>
          <cell r="Z23">
            <v>113643</v>
          </cell>
          <cell r="AA23">
            <v>108627</v>
          </cell>
          <cell r="AB23">
            <v>93346</v>
          </cell>
          <cell r="AC23">
            <v>66994</v>
          </cell>
          <cell r="AD23">
            <v>96257</v>
          </cell>
          <cell r="AE23">
            <v>102866</v>
          </cell>
          <cell r="AF23">
            <v>118813</v>
          </cell>
          <cell r="AG23">
            <v>137197</v>
          </cell>
          <cell r="AH23">
            <v>127129</v>
          </cell>
          <cell r="AI23">
            <v>138950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2979593</v>
          </cell>
          <cell r="E25">
            <v>365472</v>
          </cell>
          <cell r="F25">
            <v>410120</v>
          </cell>
          <cell r="G25">
            <v>359544</v>
          </cell>
          <cell r="H25">
            <v>257694</v>
          </cell>
          <cell r="I25">
            <v>190032</v>
          </cell>
          <cell r="J25">
            <v>149197</v>
          </cell>
          <cell r="K25">
            <v>155486</v>
          </cell>
          <cell r="L25">
            <v>143746</v>
          </cell>
          <cell r="M25">
            <v>170988</v>
          </cell>
          <cell r="N25">
            <v>202381</v>
          </cell>
          <cell r="O25">
            <v>235661</v>
          </cell>
          <cell r="P25">
            <v>339272</v>
          </cell>
          <cell r="T25">
            <v>22</v>
          </cell>
          <cell r="U25" t="str">
            <v>Total Deliveries</v>
          </cell>
          <cell r="V25"/>
          <cell r="W25">
            <v>2777383</v>
          </cell>
          <cell r="X25">
            <v>339272</v>
          </cell>
          <cell r="Y25">
            <v>345191</v>
          </cell>
          <cell r="Z25">
            <v>323810</v>
          </cell>
          <cell r="AA25">
            <v>260559</v>
          </cell>
          <cell r="AB25">
            <v>171226</v>
          </cell>
          <cell r="AC25">
            <v>115435</v>
          </cell>
          <cell r="AD25">
            <v>139202</v>
          </cell>
          <cell r="AE25">
            <v>149029</v>
          </cell>
          <cell r="AF25">
            <v>166753</v>
          </cell>
          <cell r="AG25">
            <v>198337</v>
          </cell>
          <cell r="AH25">
            <v>234680</v>
          </cell>
          <cell r="AI25">
            <v>333889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13021</v>
          </cell>
          <cell r="F28">
            <v>13116</v>
          </cell>
          <cell r="G28">
            <v>13124</v>
          </cell>
          <cell r="H28">
            <v>13097</v>
          </cell>
          <cell r="I28">
            <v>12920</v>
          </cell>
          <cell r="J28">
            <v>12580</v>
          </cell>
          <cell r="K28">
            <v>12586</v>
          </cell>
          <cell r="L28">
            <v>12610</v>
          </cell>
          <cell r="M28">
            <v>12734</v>
          </cell>
          <cell r="N28">
            <v>12888</v>
          </cell>
          <cell r="O28">
            <v>13288</v>
          </cell>
          <cell r="P28">
            <v>13713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352630</v>
          </cell>
          <cell r="F29">
            <v>343028</v>
          </cell>
          <cell r="G29">
            <v>308535</v>
          </cell>
          <cell r="H29">
            <v>249809</v>
          </cell>
          <cell r="I29">
            <v>167742</v>
          </cell>
          <cell r="J29">
            <v>113582</v>
          </cell>
          <cell r="K29">
            <v>140408</v>
          </cell>
          <cell r="L29">
            <v>152751</v>
          </cell>
          <cell r="M29">
            <v>163227</v>
          </cell>
          <cell r="N29">
            <v>185321</v>
          </cell>
          <cell r="O29">
            <v>252220</v>
          </cell>
          <cell r="P29">
            <v>299799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364972.05</v>
          </cell>
          <cell r="F30">
            <v>355033.98</v>
          </cell>
          <cell r="G30">
            <v>319333.72499999998</v>
          </cell>
          <cell r="H30">
            <v>258552.31499999997</v>
          </cell>
          <cell r="I30">
            <v>173612.96999999997</v>
          </cell>
          <cell r="J30">
            <v>117557.37</v>
          </cell>
          <cell r="K30">
            <v>145322.28</v>
          </cell>
          <cell r="L30">
            <v>158097.28499999997</v>
          </cell>
          <cell r="M30">
            <v>168939.94499999998</v>
          </cell>
          <cell r="N30">
            <v>191807.23499999999</v>
          </cell>
          <cell r="O30">
            <v>261047.69999999998</v>
          </cell>
          <cell r="P30">
            <v>310291.96499999997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11220</v>
          </cell>
          <cell r="F34">
            <v>11259</v>
          </cell>
          <cell r="G34">
            <v>11283</v>
          </cell>
          <cell r="H34">
            <v>11271</v>
          </cell>
          <cell r="I34">
            <v>11212</v>
          </cell>
          <cell r="J34">
            <v>11126</v>
          </cell>
          <cell r="K34">
            <v>11052</v>
          </cell>
          <cell r="L34">
            <v>10992</v>
          </cell>
          <cell r="M34">
            <v>10949</v>
          </cell>
          <cell r="N34">
            <v>10917</v>
          </cell>
          <cell r="O34">
            <v>10910</v>
          </cell>
          <cell r="P34">
            <v>10933</v>
          </cell>
          <cell r="T34">
            <v>31</v>
          </cell>
          <cell r="U34" t="str">
            <v>Residential</v>
          </cell>
          <cell r="V34"/>
          <cell r="W34"/>
          <cell r="X34">
            <v>10988</v>
          </cell>
          <cell r="Y34">
            <v>11021</v>
          </cell>
          <cell r="Z34">
            <v>11042</v>
          </cell>
          <cell r="AA34">
            <v>11046</v>
          </cell>
          <cell r="AB34">
            <v>11005</v>
          </cell>
          <cell r="AC34">
            <v>10942</v>
          </cell>
          <cell r="AD34">
            <v>10886</v>
          </cell>
          <cell r="AE34">
            <v>10836</v>
          </cell>
          <cell r="AF34">
            <v>10801</v>
          </cell>
          <cell r="AG34">
            <v>10781</v>
          </cell>
          <cell r="AH34">
            <v>10782</v>
          </cell>
          <cell r="AI34">
            <v>10806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1818</v>
          </cell>
          <cell r="F35">
            <v>1820</v>
          </cell>
          <cell r="G35">
            <v>1821</v>
          </cell>
          <cell r="H35">
            <v>1819</v>
          </cell>
          <cell r="I35">
            <v>1813</v>
          </cell>
          <cell r="J35">
            <v>1804</v>
          </cell>
          <cell r="K35">
            <v>1796</v>
          </cell>
          <cell r="L35">
            <v>1790</v>
          </cell>
          <cell r="M35">
            <v>1785</v>
          </cell>
          <cell r="N35">
            <v>1782</v>
          </cell>
          <cell r="O35">
            <v>1782</v>
          </cell>
          <cell r="P35">
            <v>1786</v>
          </cell>
          <cell r="T35">
            <v>32</v>
          </cell>
          <cell r="U35" t="str">
            <v>Commercial</v>
          </cell>
          <cell r="V35"/>
          <cell r="W35"/>
          <cell r="X35">
            <v>1789</v>
          </cell>
          <cell r="Y35">
            <v>1799</v>
          </cell>
          <cell r="Z35">
            <v>1803</v>
          </cell>
          <cell r="AA35">
            <v>1802</v>
          </cell>
          <cell r="AB35">
            <v>1796</v>
          </cell>
          <cell r="AC35">
            <v>1789</v>
          </cell>
          <cell r="AD35">
            <v>1783</v>
          </cell>
          <cell r="AE35">
            <v>1778</v>
          </cell>
          <cell r="AF35">
            <v>1773</v>
          </cell>
          <cell r="AG35">
            <v>1771</v>
          </cell>
          <cell r="AH35">
            <v>1771</v>
          </cell>
          <cell r="AI35">
            <v>1774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35</v>
          </cell>
          <cell r="F36">
            <v>35</v>
          </cell>
          <cell r="G36">
            <v>35</v>
          </cell>
          <cell r="H36">
            <v>35</v>
          </cell>
          <cell r="I36">
            <v>35</v>
          </cell>
          <cell r="J36">
            <v>35</v>
          </cell>
          <cell r="K36">
            <v>35</v>
          </cell>
          <cell r="L36">
            <v>35</v>
          </cell>
          <cell r="M36">
            <v>35</v>
          </cell>
          <cell r="N36">
            <v>35</v>
          </cell>
          <cell r="O36">
            <v>36</v>
          </cell>
          <cell r="P36">
            <v>36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36</v>
          </cell>
          <cell r="Y36">
            <v>36</v>
          </cell>
          <cell r="Z36">
            <v>36</v>
          </cell>
          <cell r="AA36">
            <v>36</v>
          </cell>
          <cell r="AB36">
            <v>36</v>
          </cell>
          <cell r="AC36">
            <v>36</v>
          </cell>
          <cell r="AD36">
            <v>35</v>
          </cell>
          <cell r="AE36">
            <v>35</v>
          </cell>
          <cell r="AF36">
            <v>35</v>
          </cell>
          <cell r="AG36">
            <v>35</v>
          </cell>
          <cell r="AH36">
            <v>35</v>
          </cell>
          <cell r="AI36">
            <v>35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13073</v>
          </cell>
          <cell r="F38">
            <v>13114</v>
          </cell>
          <cell r="G38">
            <v>13139</v>
          </cell>
          <cell r="H38">
            <v>13125</v>
          </cell>
          <cell r="I38">
            <v>13060</v>
          </cell>
          <cell r="J38">
            <v>12965</v>
          </cell>
          <cell r="K38">
            <v>12883</v>
          </cell>
          <cell r="L38">
            <v>12817</v>
          </cell>
          <cell r="M38">
            <v>12769</v>
          </cell>
          <cell r="N38">
            <v>12734</v>
          </cell>
          <cell r="O38">
            <v>12728</v>
          </cell>
          <cell r="P38">
            <v>12755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12813</v>
          </cell>
          <cell r="Y38">
            <v>12856</v>
          </cell>
          <cell r="Z38">
            <v>12881</v>
          </cell>
          <cell r="AA38">
            <v>12884</v>
          </cell>
          <cell r="AB38">
            <v>12837</v>
          </cell>
          <cell r="AC38">
            <v>12767</v>
          </cell>
          <cell r="AD38">
            <v>12704</v>
          </cell>
          <cell r="AE38">
            <v>12649</v>
          </cell>
          <cell r="AF38">
            <v>12609</v>
          </cell>
          <cell r="AG38">
            <v>12587</v>
          </cell>
          <cell r="AH38">
            <v>12588</v>
          </cell>
          <cell r="AI38">
            <v>12615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100180</v>
          </cell>
          <cell r="F41">
            <v>228035</v>
          </cell>
          <cell r="G41">
            <v>329779</v>
          </cell>
          <cell r="H41">
            <v>387683</v>
          </cell>
          <cell r="I41">
            <v>412259</v>
          </cell>
          <cell r="J41">
            <v>423327</v>
          </cell>
          <cell r="K41">
            <v>432276</v>
          </cell>
          <cell r="L41">
            <v>440445</v>
          </cell>
          <cell r="M41">
            <v>450028</v>
          </cell>
          <cell r="N41">
            <v>461264</v>
          </cell>
          <cell r="O41">
            <v>492808</v>
          </cell>
          <cell r="P41">
            <v>563905</v>
          </cell>
          <cell r="T41">
            <v>38</v>
          </cell>
          <cell r="U41" t="str">
            <v>Residential</v>
          </cell>
          <cell r="W41"/>
          <cell r="X41">
            <v>89494</v>
          </cell>
          <cell r="Y41">
            <v>191624</v>
          </cell>
          <cell r="Z41">
            <v>281239</v>
          </cell>
          <cell r="AA41">
            <v>347290</v>
          </cell>
          <cell r="AB41">
            <v>372505</v>
          </cell>
          <cell r="AC41">
            <v>384711</v>
          </cell>
          <cell r="AD41">
            <v>393543</v>
          </cell>
          <cell r="AE41">
            <v>402350</v>
          </cell>
          <cell r="AF41">
            <v>411641</v>
          </cell>
          <cell r="AG41">
            <v>423555</v>
          </cell>
          <cell r="AH41">
            <v>458850</v>
          </cell>
          <cell r="AI41">
            <v>533386</v>
          </cell>
        </row>
        <row r="42">
          <cell r="A42">
            <v>39</v>
          </cell>
          <cell r="B42" t="str">
            <v>Commercial</v>
          </cell>
          <cell r="D42"/>
          <cell r="E42">
            <v>129500</v>
          </cell>
          <cell r="F42">
            <v>274459</v>
          </cell>
          <cell r="G42">
            <v>402154</v>
          </cell>
          <cell r="H42">
            <v>480791</v>
          </cell>
          <cell r="I42">
            <v>529366</v>
          </cell>
          <cell r="J42">
            <v>563495</v>
          </cell>
          <cell r="K42">
            <v>596601</v>
          </cell>
          <cell r="L42">
            <v>627582</v>
          </cell>
          <cell r="M42">
            <v>662546</v>
          </cell>
          <cell r="N42">
            <v>704579</v>
          </cell>
          <cell r="O42">
            <v>767289</v>
          </cell>
          <cell r="P42">
            <v>869825</v>
          </cell>
          <cell r="T42">
            <v>39</v>
          </cell>
          <cell r="U42" t="str">
            <v>Commercial</v>
          </cell>
          <cell r="W42"/>
          <cell r="X42">
            <v>117589</v>
          </cell>
          <cell r="Y42">
            <v>238840</v>
          </cell>
          <cell r="Z42">
            <v>352034</v>
          </cell>
          <cell r="AA42">
            <v>433515</v>
          </cell>
          <cell r="AB42">
            <v>483562</v>
          </cell>
          <cell r="AC42">
            <v>517672</v>
          </cell>
          <cell r="AD42">
            <v>549342</v>
          </cell>
          <cell r="AE42">
            <v>583902</v>
          </cell>
          <cell r="AF42">
            <v>619234</v>
          </cell>
          <cell r="AG42">
            <v>664365</v>
          </cell>
          <cell r="AH42">
            <v>728978</v>
          </cell>
          <cell r="AI42">
            <v>836749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113534</v>
          </cell>
          <cell r="F43">
            <v>229958</v>
          </cell>
          <cell r="G43">
            <v>341866</v>
          </cell>
          <cell r="H43">
            <v>449249</v>
          </cell>
          <cell r="I43">
            <v>555731</v>
          </cell>
          <cell r="J43">
            <v>651340</v>
          </cell>
          <cell r="K43">
            <v>755001</v>
          </cell>
          <cell r="L43">
            <v>850622</v>
          </cell>
          <cell r="M43">
            <v>966746</v>
          </cell>
          <cell r="N43">
            <v>1103531</v>
          </cell>
          <cell r="O43">
            <v>1230090</v>
          </cell>
          <cell r="P43">
            <v>1374405</v>
          </cell>
          <cell r="T43">
            <v>40</v>
          </cell>
          <cell r="U43" t="str">
            <v xml:space="preserve">Industrial </v>
          </cell>
          <cell r="W43"/>
          <cell r="X43">
            <v>119756</v>
          </cell>
          <cell r="Y43">
            <v>229314</v>
          </cell>
          <cell r="Z43">
            <v>338978</v>
          </cell>
          <cell r="AA43">
            <v>444460</v>
          </cell>
          <cell r="AB43">
            <v>534669</v>
          </cell>
          <cell r="AC43">
            <v>598724</v>
          </cell>
          <cell r="AD43">
            <v>689505</v>
          </cell>
          <cell r="AE43">
            <v>786142</v>
          </cell>
          <cell r="AF43">
            <v>896735</v>
          </cell>
          <cell r="AG43">
            <v>1024741</v>
          </cell>
          <cell r="AH43">
            <v>1142836</v>
          </cell>
          <cell r="AI43">
            <v>1272782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343214</v>
          </cell>
          <cell r="F45">
            <v>732452</v>
          </cell>
          <cell r="G45">
            <v>1073799</v>
          </cell>
          <cell r="H45">
            <v>1317723</v>
          </cell>
          <cell r="I45">
            <v>1497356</v>
          </cell>
          <cell r="J45">
            <v>1638162</v>
          </cell>
          <cell r="K45">
            <v>1783878</v>
          </cell>
          <cell r="L45">
            <v>1918649</v>
          </cell>
          <cell r="M45">
            <v>2079320</v>
          </cell>
          <cell r="N45">
            <v>2269374</v>
          </cell>
          <cell r="O45">
            <v>2490187</v>
          </cell>
          <cell r="P45">
            <v>2808135</v>
          </cell>
          <cell r="T45">
            <v>42</v>
          </cell>
          <cell r="U45" t="str">
            <v>Total customers</v>
          </cell>
          <cell r="V45"/>
          <cell r="W45"/>
          <cell r="X45">
            <v>326839</v>
          </cell>
          <cell r="Y45">
            <v>659778</v>
          </cell>
          <cell r="Z45">
            <v>972251</v>
          </cell>
          <cell r="AA45">
            <v>1225265</v>
          </cell>
          <cell r="AB45">
            <v>1390736</v>
          </cell>
          <cell r="AC45">
            <v>1501107</v>
          </cell>
          <cell r="AD45">
            <v>1632390</v>
          </cell>
          <cell r="AE45">
            <v>1772394</v>
          </cell>
          <cell r="AF45">
            <v>1927610</v>
          </cell>
          <cell r="AG45">
            <v>2112661</v>
          </cell>
          <cell r="AH45">
            <v>2330664</v>
          </cell>
          <cell r="AI45">
            <v>2642917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106677</v>
          </cell>
          <cell r="F48">
            <v>241391</v>
          </cell>
          <cell r="G48">
            <v>348559</v>
          </cell>
          <cell r="H48">
            <v>409732</v>
          </cell>
          <cell r="I48">
            <v>435731</v>
          </cell>
          <cell r="J48">
            <v>447459</v>
          </cell>
          <cell r="K48">
            <v>457008</v>
          </cell>
          <cell r="L48">
            <v>465721</v>
          </cell>
          <cell r="M48">
            <v>475919</v>
          </cell>
          <cell r="N48">
            <v>487884</v>
          </cell>
          <cell r="O48">
            <v>521549</v>
          </cell>
          <cell r="P48">
            <v>597414</v>
          </cell>
          <cell r="T48">
            <v>45</v>
          </cell>
          <cell r="U48" t="str">
            <v>Residential</v>
          </cell>
          <cell r="W48"/>
          <cell r="X48">
            <v>92898</v>
          </cell>
          <cell r="Y48">
            <v>198786</v>
          </cell>
          <cell r="Z48">
            <v>291652</v>
          </cell>
          <cell r="AA48">
            <v>359673</v>
          </cell>
          <cell r="AB48">
            <v>385765</v>
          </cell>
          <cell r="AC48">
            <v>398531</v>
          </cell>
          <cell r="AD48">
            <v>407896</v>
          </cell>
          <cell r="AE48">
            <v>417271</v>
          </cell>
          <cell r="AF48">
            <v>427253</v>
          </cell>
          <cell r="AG48">
            <v>440022</v>
          </cell>
          <cell r="AH48">
            <v>478017</v>
          </cell>
          <cell r="AI48">
            <v>557718</v>
          </cell>
        </row>
        <row r="49">
          <cell r="A49">
            <v>46</v>
          </cell>
          <cell r="B49" t="str">
            <v>Commercial</v>
          </cell>
          <cell r="D49"/>
          <cell r="E49">
            <v>137898</v>
          </cell>
          <cell r="F49">
            <v>290634</v>
          </cell>
          <cell r="G49">
            <v>425136</v>
          </cell>
          <cell r="H49">
            <v>508212</v>
          </cell>
          <cell r="I49">
            <v>559599</v>
          </cell>
          <cell r="J49">
            <v>595762</v>
          </cell>
          <cell r="K49">
            <v>631088</v>
          </cell>
          <cell r="L49">
            <v>664132</v>
          </cell>
          <cell r="M49">
            <v>701341</v>
          </cell>
          <cell r="N49">
            <v>746100</v>
          </cell>
          <cell r="O49">
            <v>813027</v>
          </cell>
          <cell r="P49">
            <v>922440</v>
          </cell>
          <cell r="T49">
            <v>46</v>
          </cell>
          <cell r="U49" t="str">
            <v>Commercial</v>
          </cell>
          <cell r="W49"/>
          <cell r="X49">
            <v>122062</v>
          </cell>
          <cell r="Y49">
            <v>247775</v>
          </cell>
          <cell r="Z49">
            <v>365076</v>
          </cell>
          <cell r="AA49">
            <v>448987</v>
          </cell>
          <cell r="AB49">
            <v>500775</v>
          </cell>
          <cell r="AC49">
            <v>536450</v>
          </cell>
          <cell r="AD49">
            <v>570030</v>
          </cell>
          <cell r="AE49">
            <v>606818</v>
          </cell>
          <cell r="AF49">
            <v>644776</v>
          </cell>
          <cell r="AG49">
            <v>693147</v>
          </cell>
          <cell r="AH49">
            <v>762703</v>
          </cell>
          <cell r="AI49">
            <v>877941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120897</v>
          </cell>
          <cell r="F50">
            <v>243567</v>
          </cell>
          <cell r="G50">
            <v>361441</v>
          </cell>
          <cell r="H50">
            <v>474886</v>
          </cell>
          <cell r="I50">
            <v>587532</v>
          </cell>
          <cell r="J50">
            <v>688838</v>
          </cell>
          <cell r="K50">
            <v>799449</v>
          </cell>
          <cell r="L50">
            <v>901438</v>
          </cell>
          <cell r="M50">
            <v>1025019</v>
          </cell>
          <cell r="N50">
            <v>1170676</v>
          </cell>
          <cell r="O50">
            <v>1305745</v>
          </cell>
          <cell r="P50">
            <v>1459739</v>
          </cell>
          <cell r="T50">
            <v>47</v>
          </cell>
          <cell r="U50" t="str">
            <v xml:space="preserve">Industrial </v>
          </cell>
          <cell r="W50"/>
          <cell r="X50">
            <v>124312</v>
          </cell>
          <cell r="Y50">
            <v>237902</v>
          </cell>
          <cell r="Z50">
            <v>351545</v>
          </cell>
          <cell r="AA50">
            <v>460172</v>
          </cell>
          <cell r="AB50">
            <v>553518</v>
          </cell>
          <cell r="AC50">
            <v>620512</v>
          </cell>
          <cell r="AD50">
            <v>716769</v>
          </cell>
          <cell r="AE50">
            <v>819635</v>
          </cell>
          <cell r="AF50">
            <v>938448</v>
          </cell>
          <cell r="AG50">
            <v>1075645</v>
          </cell>
          <cell r="AH50">
            <v>1202774</v>
          </cell>
          <cell r="AI50">
            <v>1341724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365472</v>
          </cell>
          <cell r="F52">
            <v>775592</v>
          </cell>
          <cell r="G52">
            <v>1135136</v>
          </cell>
          <cell r="H52">
            <v>1392830</v>
          </cell>
          <cell r="I52">
            <v>1582862</v>
          </cell>
          <cell r="J52">
            <v>1732059</v>
          </cell>
          <cell r="K52">
            <v>1887545</v>
          </cell>
          <cell r="L52">
            <v>2031291</v>
          </cell>
          <cell r="M52">
            <v>2202279</v>
          </cell>
          <cell r="N52">
            <v>2404660</v>
          </cell>
          <cell r="O52">
            <v>2640321</v>
          </cell>
          <cell r="P52">
            <v>2979593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339272</v>
          </cell>
          <cell r="Y52">
            <v>684463</v>
          </cell>
          <cell r="Z52">
            <v>1008273</v>
          </cell>
          <cell r="AA52">
            <v>1268832</v>
          </cell>
          <cell r="AB52">
            <v>1440058</v>
          </cell>
          <cell r="AC52">
            <v>1555493</v>
          </cell>
          <cell r="AD52">
            <v>1694695</v>
          </cell>
          <cell r="AE52">
            <v>1843724</v>
          </cell>
          <cell r="AF52">
            <v>2010477</v>
          </cell>
          <cell r="AG52">
            <v>2208814</v>
          </cell>
          <cell r="AH52">
            <v>2443494</v>
          </cell>
          <cell r="AI52">
            <v>2777383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13021</v>
          </cell>
          <cell r="F55">
            <v>13069</v>
          </cell>
          <cell r="G55">
            <v>13087</v>
          </cell>
          <cell r="H55">
            <v>13090</v>
          </cell>
          <cell r="I55">
            <v>13056</v>
          </cell>
          <cell r="J55">
            <v>12976</v>
          </cell>
          <cell r="K55">
            <v>12921</v>
          </cell>
          <cell r="L55">
            <v>12882</v>
          </cell>
          <cell r="M55">
            <v>12865</v>
          </cell>
          <cell r="N55">
            <v>12868</v>
          </cell>
          <cell r="O55">
            <v>12906</v>
          </cell>
          <cell r="P55">
            <v>12973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352630</v>
          </cell>
          <cell r="F56">
            <v>695658</v>
          </cell>
          <cell r="G56">
            <v>1004193</v>
          </cell>
          <cell r="H56">
            <v>1254002</v>
          </cell>
          <cell r="I56">
            <v>1421744</v>
          </cell>
          <cell r="J56">
            <v>1535326</v>
          </cell>
          <cell r="K56">
            <v>1675734</v>
          </cell>
          <cell r="L56">
            <v>1828485</v>
          </cell>
          <cell r="M56">
            <v>1991712</v>
          </cell>
          <cell r="N56">
            <v>2177033</v>
          </cell>
          <cell r="O56">
            <v>2429253</v>
          </cell>
          <cell r="P56">
            <v>2729052</v>
          </cell>
        </row>
        <row r="57">
          <cell r="A57">
            <v>54</v>
          </cell>
          <cell r="B57" t="str">
            <v>Cumulative YTD Budget Volume (Dts) * 1.035</v>
          </cell>
          <cell r="E57">
            <v>364972.05</v>
          </cell>
          <cell r="F57">
            <v>720006.03</v>
          </cell>
          <cell r="G57">
            <v>1039339.755</v>
          </cell>
          <cell r="H57">
            <v>1297892.07</v>
          </cell>
          <cell r="I57">
            <v>1471505.04</v>
          </cell>
          <cell r="J57">
            <v>1589062.4100000001</v>
          </cell>
          <cell r="K57">
            <v>1734384.6900000002</v>
          </cell>
          <cell r="L57">
            <v>1892481.9750000001</v>
          </cell>
          <cell r="M57">
            <v>2061421.9200000002</v>
          </cell>
          <cell r="N57">
            <v>2253229.1550000003</v>
          </cell>
          <cell r="O57">
            <v>2514276.8550000004</v>
          </cell>
          <cell r="P57">
            <v>2824568.8200000003</v>
          </cell>
        </row>
      </sheetData>
      <sheetData sheetId="12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9817.9166666666661</v>
          </cell>
          <cell r="E5">
            <v>9864</v>
          </cell>
          <cell r="F5">
            <v>9905</v>
          </cell>
          <cell r="G5">
            <v>9879</v>
          </cell>
          <cell r="H5">
            <v>9835</v>
          </cell>
          <cell r="I5">
            <v>9792</v>
          </cell>
          <cell r="J5">
            <v>9796</v>
          </cell>
          <cell r="K5">
            <v>9785</v>
          </cell>
          <cell r="L5">
            <v>9788</v>
          </cell>
          <cell r="M5">
            <v>9785</v>
          </cell>
          <cell r="N5">
            <v>9786</v>
          </cell>
          <cell r="O5">
            <v>9798</v>
          </cell>
          <cell r="P5">
            <v>9802</v>
          </cell>
        </row>
        <row r="6">
          <cell r="A6">
            <v>3</v>
          </cell>
          <cell r="B6" t="str">
            <v>Commercial</v>
          </cell>
          <cell r="C6"/>
          <cell r="D6">
            <v>1084.9166666666667</v>
          </cell>
          <cell r="E6">
            <v>1066</v>
          </cell>
          <cell r="F6">
            <v>1063</v>
          </cell>
          <cell r="G6">
            <v>1055</v>
          </cell>
          <cell r="H6">
            <v>1058</v>
          </cell>
          <cell r="I6">
            <v>1095</v>
          </cell>
          <cell r="J6">
            <v>1112</v>
          </cell>
          <cell r="K6">
            <v>1108</v>
          </cell>
          <cell r="L6">
            <v>1109</v>
          </cell>
          <cell r="M6">
            <v>1110</v>
          </cell>
          <cell r="N6">
            <v>1094</v>
          </cell>
          <cell r="O6">
            <v>1078</v>
          </cell>
          <cell r="P6">
            <v>1071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3.8333333333333335</v>
          </cell>
          <cell r="E7">
            <v>3</v>
          </cell>
          <cell r="F7">
            <v>3</v>
          </cell>
          <cell r="G7">
            <v>3</v>
          </cell>
          <cell r="H7">
            <v>3</v>
          </cell>
          <cell r="I7">
            <v>4</v>
          </cell>
          <cell r="J7">
            <v>4</v>
          </cell>
          <cell r="K7">
            <v>4</v>
          </cell>
          <cell r="L7">
            <v>4</v>
          </cell>
          <cell r="M7">
            <v>5</v>
          </cell>
          <cell r="N7">
            <v>5</v>
          </cell>
          <cell r="O7">
            <v>4</v>
          </cell>
          <cell r="P7">
            <v>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10906.666666666666</v>
          </cell>
          <cell r="E9">
            <v>10933</v>
          </cell>
          <cell r="F9">
            <v>10971</v>
          </cell>
          <cell r="G9">
            <v>10937</v>
          </cell>
          <cell r="H9">
            <v>10896</v>
          </cell>
          <cell r="I9">
            <v>10891</v>
          </cell>
          <cell r="J9">
            <v>10912</v>
          </cell>
          <cell r="K9">
            <v>10897</v>
          </cell>
          <cell r="L9">
            <v>10901</v>
          </cell>
          <cell r="M9">
            <v>10900</v>
          </cell>
          <cell r="N9">
            <v>10885</v>
          </cell>
          <cell r="O9">
            <v>10880</v>
          </cell>
          <cell r="P9">
            <v>10877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</row>
        <row r="12">
          <cell r="A12">
            <v>9</v>
          </cell>
          <cell r="B12" t="str">
            <v>Residential</v>
          </cell>
          <cell r="D12">
            <v>288689</v>
          </cell>
          <cell r="E12">
            <v>48102</v>
          </cell>
          <cell r="F12">
            <v>67496</v>
          </cell>
          <cell r="G12">
            <v>52335</v>
          </cell>
          <cell r="H12">
            <v>26822</v>
          </cell>
          <cell r="I12">
            <v>11233</v>
          </cell>
          <cell r="J12">
            <v>6193</v>
          </cell>
          <cell r="K12">
            <v>6203</v>
          </cell>
          <cell r="L12">
            <v>6553</v>
          </cell>
          <cell r="M12">
            <v>5561</v>
          </cell>
          <cell r="N12">
            <v>6410</v>
          </cell>
          <cell r="O12">
            <v>17531</v>
          </cell>
          <cell r="P12">
            <v>34250</v>
          </cell>
        </row>
        <row r="13">
          <cell r="A13">
            <v>10</v>
          </cell>
          <cell r="B13" t="str">
            <v>Commercial</v>
          </cell>
          <cell r="D13">
            <v>393583</v>
          </cell>
          <cell r="E13">
            <v>31951</v>
          </cell>
          <cell r="F13">
            <v>39769</v>
          </cell>
          <cell r="G13">
            <v>36360</v>
          </cell>
          <cell r="H13">
            <v>28666</v>
          </cell>
          <cell r="I13">
            <v>24099</v>
          </cell>
          <cell r="J13">
            <v>26219</v>
          </cell>
          <cell r="K13">
            <v>31575</v>
          </cell>
          <cell r="L13">
            <v>41312</v>
          </cell>
          <cell r="M13">
            <v>38617</v>
          </cell>
          <cell r="N13">
            <v>32900</v>
          </cell>
          <cell r="O13">
            <v>28367</v>
          </cell>
          <cell r="P13">
            <v>33748</v>
          </cell>
        </row>
        <row r="14">
          <cell r="A14">
            <v>11</v>
          </cell>
          <cell r="B14" t="str">
            <v xml:space="preserve">Industrial </v>
          </cell>
          <cell r="D14">
            <v>68501</v>
          </cell>
          <cell r="E14">
            <v>0</v>
          </cell>
          <cell r="F14">
            <v>0</v>
          </cell>
          <cell r="G14">
            <v>264</v>
          </cell>
          <cell r="H14">
            <v>2472</v>
          </cell>
          <cell r="I14">
            <v>5590</v>
          </cell>
          <cell r="J14">
            <v>6759</v>
          </cell>
          <cell r="K14">
            <v>6910</v>
          </cell>
          <cell r="L14">
            <v>5566</v>
          </cell>
          <cell r="M14">
            <v>9559</v>
          </cell>
          <cell r="N14">
            <v>12552</v>
          </cell>
          <cell r="O14">
            <v>10986</v>
          </cell>
          <cell r="P14">
            <v>7843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/>
          <cell r="J15"/>
          <cell r="K15"/>
          <cell r="L15"/>
          <cell r="M15"/>
          <cell r="N15"/>
          <cell r="O15"/>
          <cell r="P15"/>
        </row>
        <row r="16">
          <cell r="A16">
            <v>13</v>
          </cell>
          <cell r="B16" t="str">
            <v>Total customers</v>
          </cell>
          <cell r="D16">
            <v>750773</v>
          </cell>
          <cell r="E16">
            <v>80053</v>
          </cell>
          <cell r="F16">
            <v>107265</v>
          </cell>
          <cell r="G16">
            <v>88959</v>
          </cell>
          <cell r="H16">
            <v>57960</v>
          </cell>
          <cell r="I16">
            <v>40922</v>
          </cell>
          <cell r="J16">
            <v>39171</v>
          </cell>
          <cell r="K16">
            <v>44688</v>
          </cell>
          <cell r="L16">
            <v>53431</v>
          </cell>
          <cell r="M16">
            <v>53737</v>
          </cell>
          <cell r="N16">
            <v>51862</v>
          </cell>
          <cell r="O16">
            <v>56884</v>
          </cell>
          <cell r="P16">
            <v>75841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</row>
        <row r="21">
          <cell r="A21">
            <v>18</v>
          </cell>
          <cell r="B21" t="str">
            <v>Residential</v>
          </cell>
          <cell r="D21">
            <v>305853</v>
          </cell>
          <cell r="E21">
            <v>51221</v>
          </cell>
          <cell r="F21">
            <v>71117</v>
          </cell>
          <cell r="G21">
            <v>55125</v>
          </cell>
          <cell r="H21">
            <v>28336</v>
          </cell>
          <cell r="I21">
            <v>11883</v>
          </cell>
          <cell r="J21">
            <v>6562</v>
          </cell>
          <cell r="K21">
            <v>6619</v>
          </cell>
          <cell r="L21">
            <v>6989</v>
          </cell>
          <cell r="M21">
            <v>5918</v>
          </cell>
          <cell r="N21">
            <v>6826</v>
          </cell>
          <cell r="O21">
            <v>18710</v>
          </cell>
          <cell r="P21">
            <v>36547</v>
          </cell>
        </row>
        <row r="22">
          <cell r="A22">
            <v>19</v>
          </cell>
          <cell r="B22" t="str">
            <v>Commercial</v>
          </cell>
          <cell r="D22">
            <v>417954</v>
          </cell>
          <cell r="E22">
            <v>34023</v>
          </cell>
          <cell r="F22">
            <v>41903</v>
          </cell>
          <cell r="G22">
            <v>38298</v>
          </cell>
          <cell r="H22">
            <v>30284</v>
          </cell>
          <cell r="I22">
            <v>25494</v>
          </cell>
          <cell r="J22">
            <v>27781</v>
          </cell>
          <cell r="K22">
            <v>33692</v>
          </cell>
          <cell r="L22">
            <v>44063</v>
          </cell>
          <cell r="M22">
            <v>41097</v>
          </cell>
          <cell r="N22">
            <v>35034</v>
          </cell>
          <cell r="O22">
            <v>30274</v>
          </cell>
          <cell r="P22">
            <v>36011</v>
          </cell>
        </row>
        <row r="23">
          <cell r="A23">
            <v>20</v>
          </cell>
          <cell r="B23" t="str">
            <v xml:space="preserve">Industrial </v>
          </cell>
          <cell r="D23">
            <v>72909</v>
          </cell>
          <cell r="E23">
            <v>0</v>
          </cell>
          <cell r="F23">
            <v>0</v>
          </cell>
          <cell r="G23">
            <v>278</v>
          </cell>
          <cell r="H23">
            <v>2612</v>
          </cell>
          <cell r="I23">
            <v>5914</v>
          </cell>
          <cell r="J23">
            <v>7162</v>
          </cell>
          <cell r="K23">
            <v>7373</v>
          </cell>
          <cell r="L23">
            <v>5937</v>
          </cell>
          <cell r="M23">
            <v>10173</v>
          </cell>
          <cell r="N23">
            <v>13366</v>
          </cell>
          <cell r="O23">
            <v>11725</v>
          </cell>
          <cell r="P23">
            <v>8369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796716</v>
          </cell>
          <cell r="E25">
            <v>85244</v>
          </cell>
          <cell r="F25">
            <v>113020</v>
          </cell>
          <cell r="G25">
            <v>93701</v>
          </cell>
          <cell r="H25">
            <v>61232</v>
          </cell>
          <cell r="I25">
            <v>43291</v>
          </cell>
          <cell r="J25">
            <v>41505</v>
          </cell>
          <cell r="K25">
            <v>47684</v>
          </cell>
          <cell r="L25">
            <v>56989</v>
          </cell>
          <cell r="M25">
            <v>57188</v>
          </cell>
          <cell r="N25">
            <v>55226</v>
          </cell>
          <cell r="O25">
            <v>60709</v>
          </cell>
          <cell r="P25">
            <v>80927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10941</v>
          </cell>
          <cell r="F28">
            <v>10954</v>
          </cell>
          <cell r="G28">
            <v>10935</v>
          </cell>
          <cell r="H28">
            <v>11006</v>
          </cell>
          <cell r="I28">
            <v>11085</v>
          </cell>
          <cell r="J28">
            <v>11092</v>
          </cell>
          <cell r="K28">
            <v>11132</v>
          </cell>
          <cell r="L28">
            <v>11180</v>
          </cell>
          <cell r="M28">
            <v>11220</v>
          </cell>
          <cell r="N28">
            <v>11274</v>
          </cell>
          <cell r="O28">
            <v>11299</v>
          </cell>
          <cell r="P28">
            <v>11385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97484</v>
          </cell>
          <cell r="F29">
            <v>107718</v>
          </cell>
          <cell r="G29">
            <v>90203</v>
          </cell>
          <cell r="H29">
            <v>78617</v>
          </cell>
          <cell r="I29">
            <v>51527</v>
          </cell>
          <cell r="J29">
            <v>51293</v>
          </cell>
          <cell r="K29">
            <v>51609</v>
          </cell>
          <cell r="L29">
            <v>50691</v>
          </cell>
          <cell r="M29">
            <v>51428</v>
          </cell>
          <cell r="N29">
            <v>41082</v>
          </cell>
          <cell r="O29">
            <v>54006</v>
          </cell>
          <cell r="P29">
            <v>75774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100895.93999999999</v>
          </cell>
          <cell r="F30">
            <v>111488.12999999999</v>
          </cell>
          <cell r="G30">
            <v>93360.104999999996</v>
          </cell>
          <cell r="H30">
            <v>81368.594999999987</v>
          </cell>
          <cell r="I30">
            <v>53330.444999999992</v>
          </cell>
          <cell r="J30">
            <v>53088.254999999997</v>
          </cell>
          <cell r="K30">
            <v>53415.314999999995</v>
          </cell>
          <cell r="L30">
            <v>52465.184999999998</v>
          </cell>
          <cell r="M30">
            <v>53227.979999999996</v>
          </cell>
          <cell r="N30">
            <v>42519.869999999995</v>
          </cell>
          <cell r="O30">
            <v>55896.21</v>
          </cell>
          <cell r="P30">
            <v>78426.09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9864</v>
          </cell>
          <cell r="F34">
            <v>9885</v>
          </cell>
          <cell r="G34">
            <v>9883</v>
          </cell>
          <cell r="H34">
            <v>9871</v>
          </cell>
          <cell r="I34">
            <v>9855</v>
          </cell>
          <cell r="J34">
            <v>9845</v>
          </cell>
          <cell r="K34">
            <v>9837</v>
          </cell>
          <cell r="L34">
            <v>9831</v>
          </cell>
          <cell r="M34">
            <v>9825</v>
          </cell>
          <cell r="N34">
            <v>9822</v>
          </cell>
          <cell r="O34">
            <v>9819</v>
          </cell>
          <cell r="P34">
            <v>9818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1066</v>
          </cell>
          <cell r="F35">
            <v>1065</v>
          </cell>
          <cell r="G35">
            <v>1061</v>
          </cell>
          <cell r="H35">
            <v>1061</v>
          </cell>
          <cell r="I35">
            <v>1067</v>
          </cell>
          <cell r="J35">
            <v>1075</v>
          </cell>
          <cell r="K35">
            <v>1080</v>
          </cell>
          <cell r="L35">
            <v>1083</v>
          </cell>
          <cell r="M35">
            <v>1086</v>
          </cell>
          <cell r="N35">
            <v>1087</v>
          </cell>
          <cell r="O35">
            <v>1086</v>
          </cell>
          <cell r="P35">
            <v>1085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3</v>
          </cell>
          <cell r="F36">
            <v>3</v>
          </cell>
          <cell r="G36">
            <v>3</v>
          </cell>
          <cell r="H36">
            <v>3</v>
          </cell>
          <cell r="I36">
            <v>3</v>
          </cell>
          <cell r="J36">
            <v>3</v>
          </cell>
          <cell r="K36">
            <v>3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10933</v>
          </cell>
          <cell r="F38">
            <v>10953</v>
          </cell>
          <cell r="G38">
            <v>10947</v>
          </cell>
          <cell r="H38">
            <v>10935</v>
          </cell>
          <cell r="I38">
            <v>10925</v>
          </cell>
          <cell r="J38">
            <v>10923</v>
          </cell>
          <cell r="K38">
            <v>10920</v>
          </cell>
          <cell r="L38">
            <v>10918</v>
          </cell>
          <cell r="M38">
            <v>10915</v>
          </cell>
          <cell r="N38">
            <v>10913</v>
          </cell>
          <cell r="O38">
            <v>10909</v>
          </cell>
          <cell r="P38">
            <v>10907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48102</v>
          </cell>
          <cell r="F41">
            <v>115598</v>
          </cell>
          <cell r="G41">
            <v>167933</v>
          </cell>
          <cell r="H41">
            <v>194755</v>
          </cell>
          <cell r="I41">
            <v>205988</v>
          </cell>
          <cell r="J41">
            <v>212181</v>
          </cell>
          <cell r="K41">
            <v>218384</v>
          </cell>
          <cell r="L41">
            <v>224937</v>
          </cell>
          <cell r="M41">
            <v>230498</v>
          </cell>
          <cell r="N41">
            <v>236908</v>
          </cell>
          <cell r="O41">
            <v>254439</v>
          </cell>
          <cell r="P41">
            <v>288689</v>
          </cell>
        </row>
        <row r="42">
          <cell r="A42">
            <v>39</v>
          </cell>
          <cell r="B42" t="str">
            <v>Commercial</v>
          </cell>
          <cell r="D42"/>
          <cell r="E42">
            <v>31951</v>
          </cell>
          <cell r="F42">
            <v>71720</v>
          </cell>
          <cell r="G42">
            <v>108080</v>
          </cell>
          <cell r="H42">
            <v>136746</v>
          </cell>
          <cell r="I42">
            <v>160845</v>
          </cell>
          <cell r="J42">
            <v>187064</v>
          </cell>
          <cell r="K42">
            <v>218639</v>
          </cell>
          <cell r="L42">
            <v>259951</v>
          </cell>
          <cell r="M42">
            <v>298568</v>
          </cell>
          <cell r="N42">
            <v>331468</v>
          </cell>
          <cell r="O42">
            <v>359835</v>
          </cell>
          <cell r="P42">
            <v>393583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0</v>
          </cell>
          <cell r="F43">
            <v>0</v>
          </cell>
          <cell r="G43">
            <v>264</v>
          </cell>
          <cell r="H43">
            <v>2736</v>
          </cell>
          <cell r="I43">
            <v>8326</v>
          </cell>
          <cell r="J43">
            <v>15085</v>
          </cell>
          <cell r="K43">
            <v>21995</v>
          </cell>
          <cell r="L43">
            <v>27561</v>
          </cell>
          <cell r="M43">
            <v>37120</v>
          </cell>
          <cell r="N43">
            <v>49672</v>
          </cell>
          <cell r="O43">
            <v>60658</v>
          </cell>
          <cell r="P43">
            <v>68501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80053</v>
          </cell>
          <cell r="F45">
            <v>187318</v>
          </cell>
          <cell r="G45">
            <v>276277</v>
          </cell>
          <cell r="H45">
            <v>334237</v>
          </cell>
          <cell r="I45">
            <v>375159</v>
          </cell>
          <cell r="J45">
            <v>414330</v>
          </cell>
          <cell r="K45">
            <v>459018</v>
          </cell>
          <cell r="L45">
            <v>512449</v>
          </cell>
          <cell r="M45">
            <v>566186</v>
          </cell>
          <cell r="N45">
            <v>618048</v>
          </cell>
          <cell r="O45">
            <v>674932</v>
          </cell>
          <cell r="P45">
            <v>750773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</row>
        <row r="47">
          <cell r="A47">
            <v>44</v>
          </cell>
          <cell r="B47" t="str">
            <v xml:space="preserve">Cumulative Volume - 2014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51221</v>
          </cell>
          <cell r="F48">
            <v>122338</v>
          </cell>
          <cell r="G48">
            <v>177463</v>
          </cell>
          <cell r="H48">
            <v>205799</v>
          </cell>
          <cell r="I48">
            <v>217682</v>
          </cell>
          <cell r="J48">
            <v>224244</v>
          </cell>
          <cell r="K48">
            <v>230863</v>
          </cell>
          <cell r="L48">
            <v>237852</v>
          </cell>
          <cell r="M48">
            <v>243770</v>
          </cell>
          <cell r="N48">
            <v>250596</v>
          </cell>
          <cell r="O48">
            <v>269306</v>
          </cell>
          <cell r="P48">
            <v>305853</v>
          </cell>
        </row>
        <row r="49">
          <cell r="A49">
            <v>46</v>
          </cell>
          <cell r="B49" t="str">
            <v>Commercial</v>
          </cell>
          <cell r="D49"/>
          <cell r="E49">
            <v>34023</v>
          </cell>
          <cell r="F49">
            <v>75926</v>
          </cell>
          <cell r="G49">
            <v>114224</v>
          </cell>
          <cell r="H49">
            <v>144508</v>
          </cell>
          <cell r="I49">
            <v>170002</v>
          </cell>
          <cell r="J49">
            <v>197783</v>
          </cell>
          <cell r="K49">
            <v>231475</v>
          </cell>
          <cell r="L49">
            <v>275538</v>
          </cell>
          <cell r="M49">
            <v>316635</v>
          </cell>
          <cell r="N49">
            <v>351669</v>
          </cell>
          <cell r="O49">
            <v>381943</v>
          </cell>
          <cell r="P49">
            <v>417954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0</v>
          </cell>
          <cell r="F50">
            <v>0</v>
          </cell>
          <cell r="G50">
            <v>278</v>
          </cell>
          <cell r="H50">
            <v>2890</v>
          </cell>
          <cell r="I50">
            <v>8804</v>
          </cell>
          <cell r="J50">
            <v>15966</v>
          </cell>
          <cell r="K50">
            <v>23339</v>
          </cell>
          <cell r="L50">
            <v>29276</v>
          </cell>
          <cell r="M50">
            <v>39449</v>
          </cell>
          <cell r="N50">
            <v>52815</v>
          </cell>
          <cell r="O50">
            <v>64540</v>
          </cell>
          <cell r="P50">
            <v>72909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85244</v>
          </cell>
          <cell r="F52">
            <v>198264</v>
          </cell>
          <cell r="G52">
            <v>291965</v>
          </cell>
          <cell r="H52">
            <v>353197</v>
          </cell>
          <cell r="I52">
            <v>396488</v>
          </cell>
          <cell r="J52">
            <v>437993</v>
          </cell>
          <cell r="K52">
            <v>485677</v>
          </cell>
          <cell r="L52">
            <v>542666</v>
          </cell>
          <cell r="M52">
            <v>599854</v>
          </cell>
          <cell r="N52">
            <v>655080</v>
          </cell>
          <cell r="O52">
            <v>715789</v>
          </cell>
          <cell r="P52">
            <v>796716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10941</v>
          </cell>
          <cell r="F55">
            <v>10948</v>
          </cell>
          <cell r="G55">
            <v>10943</v>
          </cell>
          <cell r="H55">
            <v>10959</v>
          </cell>
          <cell r="I55">
            <v>10984</v>
          </cell>
          <cell r="J55">
            <v>11002</v>
          </cell>
          <cell r="K55">
            <v>11021</v>
          </cell>
          <cell r="L55">
            <v>11041</v>
          </cell>
          <cell r="M55">
            <v>11061</v>
          </cell>
          <cell r="N55">
            <v>11082</v>
          </cell>
          <cell r="O55">
            <v>11102</v>
          </cell>
          <cell r="P55">
            <v>11125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97484</v>
          </cell>
          <cell r="F56">
            <v>205202</v>
          </cell>
          <cell r="G56">
            <v>295405</v>
          </cell>
          <cell r="H56">
            <v>374022</v>
          </cell>
          <cell r="I56">
            <v>425549</v>
          </cell>
          <cell r="J56">
            <v>476842</v>
          </cell>
          <cell r="K56">
            <v>528451</v>
          </cell>
          <cell r="L56">
            <v>579142</v>
          </cell>
          <cell r="M56">
            <v>630570</v>
          </cell>
          <cell r="N56">
            <v>671652</v>
          </cell>
          <cell r="O56">
            <v>725658</v>
          </cell>
          <cell r="P56">
            <v>801432</v>
          </cell>
        </row>
        <row r="57">
          <cell r="A57">
            <v>54</v>
          </cell>
          <cell r="B57" t="str">
            <v>Cumulative YTD Budget Volume (Dts) * 1.035</v>
          </cell>
          <cell r="E57">
            <v>100895.93999999999</v>
          </cell>
          <cell r="F57">
            <v>212384.06999999998</v>
          </cell>
          <cell r="G57">
            <v>305744.17499999999</v>
          </cell>
          <cell r="H57">
            <v>387112.76999999996</v>
          </cell>
          <cell r="I57">
            <v>440443.21499999997</v>
          </cell>
          <cell r="J57">
            <v>493531.47</v>
          </cell>
          <cell r="K57">
            <v>546946.78499999992</v>
          </cell>
          <cell r="L57">
            <v>599411.97</v>
          </cell>
          <cell r="M57">
            <v>652639.94999999995</v>
          </cell>
          <cell r="N57">
            <v>695159.82</v>
          </cell>
          <cell r="O57">
            <v>751056.02999999991</v>
          </cell>
          <cell r="P57">
            <v>829482.11999999988</v>
          </cell>
        </row>
      </sheetData>
      <sheetData sheetId="13"/>
      <sheetData sheetId="14"/>
      <sheetData sheetId="15"/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50835</v>
          </cell>
          <cell r="D5">
            <v>610017</v>
          </cell>
          <cell r="E5">
            <v>50512</v>
          </cell>
          <cell r="F5">
            <v>50676</v>
          </cell>
          <cell r="G5">
            <v>50950</v>
          </cell>
          <cell r="H5">
            <v>50996</v>
          </cell>
          <cell r="I5">
            <v>50970</v>
          </cell>
          <cell r="J5">
            <v>50850</v>
          </cell>
          <cell r="K5">
            <v>50837</v>
          </cell>
          <cell r="L5">
            <v>50574</v>
          </cell>
          <cell r="M5">
            <v>50661</v>
          </cell>
          <cell r="N5">
            <v>50749</v>
          </cell>
          <cell r="O5">
            <v>50962</v>
          </cell>
          <cell r="P5">
            <v>51280</v>
          </cell>
          <cell r="T5">
            <v>2</v>
          </cell>
          <cell r="U5" t="str">
            <v>Residential</v>
          </cell>
          <cell r="V5"/>
          <cell r="W5"/>
          <cell r="X5">
            <v>49013</v>
          </cell>
          <cell r="Y5">
            <v>49140</v>
          </cell>
          <cell r="Z5">
            <v>49384</v>
          </cell>
          <cell r="AA5">
            <v>49676</v>
          </cell>
          <cell r="AB5">
            <v>49332</v>
          </cell>
          <cell r="AC5">
            <v>49660</v>
          </cell>
          <cell r="AD5">
            <v>49444</v>
          </cell>
          <cell r="AE5">
            <v>49359</v>
          </cell>
          <cell r="AF5">
            <v>49287</v>
          </cell>
          <cell r="AG5">
            <v>49246</v>
          </cell>
          <cell r="AH5">
            <v>49385</v>
          </cell>
          <cell r="AI5">
            <v>49580</v>
          </cell>
        </row>
        <row r="6">
          <cell r="A6">
            <v>3</v>
          </cell>
          <cell r="B6" t="str">
            <v>Commercial</v>
          </cell>
          <cell r="C6">
            <v>4368</v>
          </cell>
          <cell r="D6">
            <v>52417</v>
          </cell>
          <cell r="E6">
            <v>4401</v>
          </cell>
          <cell r="F6">
            <v>4413</v>
          </cell>
          <cell r="G6">
            <v>4431</v>
          </cell>
          <cell r="H6">
            <v>4420</v>
          </cell>
          <cell r="I6">
            <v>4390</v>
          </cell>
          <cell r="J6">
            <v>4365</v>
          </cell>
          <cell r="K6">
            <v>4364</v>
          </cell>
          <cell r="L6">
            <v>4341</v>
          </cell>
          <cell r="M6">
            <v>4325</v>
          </cell>
          <cell r="N6">
            <v>4330</v>
          </cell>
          <cell r="O6">
            <v>4317</v>
          </cell>
          <cell r="P6">
            <v>4320</v>
          </cell>
          <cell r="T6">
            <v>3</v>
          </cell>
          <cell r="U6" t="str">
            <v>Commercial</v>
          </cell>
          <cell r="V6"/>
          <cell r="W6"/>
          <cell r="X6">
            <v>4549</v>
          </cell>
          <cell r="Y6">
            <v>4545</v>
          </cell>
          <cell r="Z6">
            <v>4585</v>
          </cell>
          <cell r="AA6">
            <v>4595</v>
          </cell>
          <cell r="AB6">
            <v>4515</v>
          </cell>
          <cell r="AC6">
            <v>4517</v>
          </cell>
          <cell r="AD6">
            <v>4464</v>
          </cell>
          <cell r="AE6">
            <v>4434</v>
          </cell>
          <cell r="AF6">
            <v>4422</v>
          </cell>
          <cell r="AG6">
            <v>4395</v>
          </cell>
          <cell r="AH6">
            <v>4362</v>
          </cell>
          <cell r="AI6">
            <v>4378</v>
          </cell>
        </row>
        <row r="7">
          <cell r="A7">
            <v>4</v>
          </cell>
          <cell r="B7" t="str">
            <v xml:space="preserve">Industrial </v>
          </cell>
          <cell r="C7">
            <v>1321</v>
          </cell>
          <cell r="D7">
            <v>15851</v>
          </cell>
          <cell r="E7">
            <v>1205</v>
          </cell>
          <cell r="F7">
            <v>1222</v>
          </cell>
          <cell r="G7">
            <v>1235</v>
          </cell>
          <cell r="H7">
            <v>1249</v>
          </cell>
          <cell r="I7">
            <v>1277</v>
          </cell>
          <cell r="J7">
            <v>1292</v>
          </cell>
          <cell r="K7">
            <v>1310</v>
          </cell>
          <cell r="L7">
            <v>1344</v>
          </cell>
          <cell r="M7">
            <v>1387</v>
          </cell>
          <cell r="N7">
            <v>1423</v>
          </cell>
          <cell r="O7">
            <v>1437</v>
          </cell>
          <cell r="P7">
            <v>1470</v>
          </cell>
          <cell r="T7">
            <v>4</v>
          </cell>
          <cell r="U7" t="str">
            <v>Industrial firm</v>
          </cell>
          <cell r="V7"/>
          <cell r="W7"/>
          <cell r="X7">
            <v>905</v>
          </cell>
          <cell r="Y7">
            <v>913</v>
          </cell>
          <cell r="Z7">
            <v>921</v>
          </cell>
          <cell r="AA7">
            <v>970</v>
          </cell>
          <cell r="AB7">
            <v>995</v>
          </cell>
          <cell r="AC7">
            <v>1030</v>
          </cell>
          <cell r="AD7">
            <v>1057</v>
          </cell>
          <cell r="AE7">
            <v>1076</v>
          </cell>
          <cell r="AF7">
            <v>1094</v>
          </cell>
          <cell r="AG7">
            <v>1163</v>
          </cell>
          <cell r="AH7">
            <v>1163</v>
          </cell>
          <cell r="AI7">
            <v>1196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/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56524</v>
          </cell>
          <cell r="D9">
            <v>678285</v>
          </cell>
          <cell r="E9">
            <v>56118</v>
          </cell>
          <cell r="F9">
            <v>56311</v>
          </cell>
          <cell r="G9">
            <v>56616</v>
          </cell>
          <cell r="H9">
            <v>56665</v>
          </cell>
          <cell r="I9">
            <v>56637</v>
          </cell>
          <cell r="J9">
            <v>56507</v>
          </cell>
          <cell r="K9">
            <v>56511</v>
          </cell>
          <cell r="L9">
            <v>56259</v>
          </cell>
          <cell r="M9">
            <v>56373</v>
          </cell>
          <cell r="N9">
            <v>56502</v>
          </cell>
          <cell r="O9">
            <v>56716</v>
          </cell>
          <cell r="P9">
            <v>57070</v>
          </cell>
          <cell r="T9">
            <v>6</v>
          </cell>
          <cell r="U9" t="str">
            <v>Total customers</v>
          </cell>
          <cell r="V9"/>
          <cell r="W9"/>
          <cell r="X9">
            <v>54467</v>
          </cell>
          <cell r="Y9">
            <v>54598</v>
          </cell>
          <cell r="Z9">
            <v>54890</v>
          </cell>
          <cell r="AA9">
            <v>55241</v>
          </cell>
          <cell r="AB9">
            <v>54842</v>
          </cell>
          <cell r="AC9">
            <v>55207</v>
          </cell>
          <cell r="AD9">
            <v>54965</v>
          </cell>
          <cell r="AE9">
            <v>54869</v>
          </cell>
          <cell r="AF9">
            <v>54803</v>
          </cell>
          <cell r="AG9">
            <v>54804</v>
          </cell>
          <cell r="AH9">
            <v>54910</v>
          </cell>
          <cell r="AI9">
            <v>55154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- 2014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1248047.266335573</v>
          </cell>
          <cell r="E12">
            <v>171895</v>
          </cell>
          <cell r="F12">
            <v>166968</v>
          </cell>
          <cell r="G12">
            <v>132612</v>
          </cell>
          <cell r="H12">
            <v>116118</v>
          </cell>
          <cell r="I12">
            <v>85176</v>
          </cell>
          <cell r="J12">
            <v>71965</v>
          </cell>
          <cell r="K12">
            <v>66923</v>
          </cell>
          <cell r="L12">
            <v>57900.266335573084</v>
          </cell>
          <cell r="M12">
            <v>62793</v>
          </cell>
          <cell r="N12">
            <v>67838</v>
          </cell>
          <cell r="O12">
            <v>95618</v>
          </cell>
          <cell r="P12">
            <v>152241</v>
          </cell>
          <cell r="T12">
            <v>9</v>
          </cell>
          <cell r="U12" t="str">
            <v>Residential</v>
          </cell>
          <cell r="V12"/>
          <cell r="W12">
            <v>1185957</v>
          </cell>
          <cell r="X12">
            <v>150490</v>
          </cell>
          <cell r="Y12">
            <v>141633</v>
          </cell>
          <cell r="Z12">
            <v>143378</v>
          </cell>
          <cell r="AA12">
            <v>124614</v>
          </cell>
          <cell r="AB12">
            <v>89719</v>
          </cell>
          <cell r="AC12">
            <v>73725</v>
          </cell>
          <cell r="AD12">
            <v>61764</v>
          </cell>
          <cell r="AE12">
            <v>60847</v>
          </cell>
          <cell r="AF12">
            <v>61632</v>
          </cell>
          <cell r="AG12">
            <v>67829</v>
          </cell>
          <cell r="AH12">
            <v>84070</v>
          </cell>
          <cell r="AI12">
            <v>126256</v>
          </cell>
        </row>
        <row r="13">
          <cell r="A13">
            <v>10</v>
          </cell>
          <cell r="B13" t="str">
            <v>Commercial</v>
          </cell>
          <cell r="D13">
            <v>2528529.3482325445</v>
          </cell>
          <cell r="E13">
            <v>274480</v>
          </cell>
          <cell r="F13">
            <v>260343</v>
          </cell>
          <cell r="G13">
            <v>244370</v>
          </cell>
          <cell r="H13">
            <v>227857</v>
          </cell>
          <cell r="I13">
            <v>197949</v>
          </cell>
          <cell r="J13">
            <v>179082</v>
          </cell>
          <cell r="K13">
            <v>184305</v>
          </cell>
          <cell r="L13">
            <v>158651.34823254452</v>
          </cell>
          <cell r="M13">
            <v>161825</v>
          </cell>
          <cell r="N13">
            <v>179455</v>
          </cell>
          <cell r="O13">
            <v>208256</v>
          </cell>
          <cell r="P13">
            <v>251956</v>
          </cell>
          <cell r="T13">
            <v>10</v>
          </cell>
          <cell r="U13" t="str">
            <v>Commercial</v>
          </cell>
          <cell r="W13">
            <v>2664188</v>
          </cell>
          <cell r="X13">
            <v>270224</v>
          </cell>
          <cell r="Y13">
            <v>265639</v>
          </cell>
          <cell r="Z13">
            <v>266732</v>
          </cell>
          <cell r="AA13">
            <v>266869</v>
          </cell>
          <cell r="AB13">
            <v>228567</v>
          </cell>
          <cell r="AC13">
            <v>198465</v>
          </cell>
          <cell r="AD13">
            <v>168178</v>
          </cell>
          <cell r="AE13">
            <v>175950</v>
          </cell>
          <cell r="AF13">
            <v>176129</v>
          </cell>
          <cell r="AG13">
            <v>190077</v>
          </cell>
          <cell r="AH13">
            <v>205726</v>
          </cell>
          <cell r="AI13">
            <v>251632</v>
          </cell>
        </row>
        <row r="14">
          <cell r="A14">
            <v>11</v>
          </cell>
          <cell r="B14" t="str">
            <v xml:space="preserve">Industrial </v>
          </cell>
          <cell r="D14">
            <v>3749922.618658097</v>
          </cell>
          <cell r="E14">
            <v>484173</v>
          </cell>
          <cell r="F14">
            <v>318597</v>
          </cell>
          <cell r="G14">
            <v>305299</v>
          </cell>
          <cell r="H14">
            <v>401946</v>
          </cell>
          <cell r="I14">
            <v>318946</v>
          </cell>
          <cell r="J14">
            <v>269392</v>
          </cell>
          <cell r="K14">
            <v>260392</v>
          </cell>
          <cell r="L14">
            <v>255669.61865809717</v>
          </cell>
          <cell r="M14">
            <v>248203</v>
          </cell>
          <cell r="N14">
            <v>265190</v>
          </cell>
          <cell r="O14">
            <v>307016</v>
          </cell>
          <cell r="P14">
            <v>315099</v>
          </cell>
          <cell r="T14">
            <v>11</v>
          </cell>
          <cell r="U14" t="str">
            <v>Industrial firm</v>
          </cell>
          <cell r="W14">
            <v>3618378</v>
          </cell>
          <cell r="X14">
            <v>451405</v>
          </cell>
          <cell r="Y14">
            <v>342922</v>
          </cell>
          <cell r="Z14">
            <v>385523</v>
          </cell>
          <cell r="AA14">
            <v>301150</v>
          </cell>
          <cell r="AB14">
            <v>285518</v>
          </cell>
          <cell r="AC14">
            <v>240465</v>
          </cell>
          <cell r="AD14">
            <v>232864</v>
          </cell>
          <cell r="AE14">
            <v>232682</v>
          </cell>
          <cell r="AF14">
            <v>241401</v>
          </cell>
          <cell r="AG14">
            <v>253020</v>
          </cell>
          <cell r="AH14">
            <v>267994</v>
          </cell>
          <cell r="AI14">
            <v>383434</v>
          </cell>
        </row>
        <row r="15">
          <cell r="A15">
            <v>12</v>
          </cell>
          <cell r="B15" t="str">
            <v>Other</v>
          </cell>
          <cell r="D15">
            <v>33546.923076923085</v>
          </cell>
          <cell r="E15">
            <v>-18022.395326192796</v>
          </cell>
          <cell r="F15">
            <v>-19704.965920155795</v>
          </cell>
          <cell r="G15">
            <v>8510.2239532619278</v>
          </cell>
          <cell r="H15">
            <v>-31101.265822784811</v>
          </cell>
          <cell r="I15">
            <v>-3908.4712755598835</v>
          </cell>
          <cell r="J15">
            <v>-16358.325219084714</v>
          </cell>
          <cell r="K15">
            <v>-25945.472249269718</v>
          </cell>
          <cell r="L15">
            <v>26882.852969814998</v>
          </cell>
          <cell r="M15">
            <v>-15740.019474196692</v>
          </cell>
          <cell r="N15">
            <v>13364.167478091529</v>
          </cell>
          <cell r="O15">
            <v>69934.761441090566</v>
          </cell>
          <cell r="P15">
            <v>45635.832521908473</v>
          </cell>
          <cell r="T15">
            <v>12</v>
          </cell>
          <cell r="U15" t="str">
            <v>Other</v>
          </cell>
          <cell r="W15">
            <v>-79582.278481012676</v>
          </cell>
          <cell r="X15">
            <v>-14500.486854917235</v>
          </cell>
          <cell r="Y15">
            <v>-21146.056475170401</v>
          </cell>
          <cell r="Z15">
            <v>2229.7955209347615</v>
          </cell>
          <cell r="AA15">
            <v>-32930.866601752678</v>
          </cell>
          <cell r="AB15">
            <v>-40629.990262901658</v>
          </cell>
          <cell r="AC15">
            <v>-41911.392405063292</v>
          </cell>
          <cell r="AD15">
            <v>12739.045764362221</v>
          </cell>
          <cell r="AE15">
            <v>-6878.2862706913347</v>
          </cell>
          <cell r="AF15">
            <v>-30739.045764362221</v>
          </cell>
          <cell r="AG15">
            <v>28058.422590068163</v>
          </cell>
          <cell r="AH15">
            <v>28692.307692307695</v>
          </cell>
          <cell r="AI15">
            <v>37434.27458617332</v>
          </cell>
        </row>
        <row r="16">
          <cell r="A16">
            <v>13</v>
          </cell>
          <cell r="B16" t="str">
            <v>Total Deliveries</v>
          </cell>
          <cell r="C16"/>
          <cell r="D16">
            <v>7560046.1563031375</v>
          </cell>
          <cell r="E16">
            <v>912525.60467380716</v>
          </cell>
          <cell r="F16">
            <v>726203.03407984425</v>
          </cell>
          <cell r="G16">
            <v>690791.22395326197</v>
          </cell>
          <cell r="H16">
            <v>714819.73417721514</v>
          </cell>
          <cell r="I16">
            <v>598162.52872444014</v>
          </cell>
          <cell r="J16">
            <v>504080.67478091526</v>
          </cell>
          <cell r="K16">
            <v>485674.52775073028</v>
          </cell>
          <cell r="L16">
            <v>499104.08619602979</v>
          </cell>
          <cell r="M16">
            <v>457080.98052580329</v>
          </cell>
          <cell r="N16">
            <v>525847.16747809155</v>
          </cell>
          <cell r="O16">
            <v>680824.76144109061</v>
          </cell>
          <cell r="P16">
            <v>764931.83252190845</v>
          </cell>
          <cell r="T16">
            <v>13</v>
          </cell>
          <cell r="U16" t="str">
            <v>Total Deliveries</v>
          </cell>
          <cell r="V16"/>
          <cell r="W16">
            <v>7388940.7215189878</v>
          </cell>
          <cell r="X16">
            <v>857618.51314508275</v>
          </cell>
          <cell r="Y16">
            <v>729047.94352482958</v>
          </cell>
          <cell r="Z16">
            <v>797862.79552093474</v>
          </cell>
          <cell r="AA16">
            <v>659702.1333982473</v>
          </cell>
          <cell r="AB16">
            <v>563174.00973709836</v>
          </cell>
          <cell r="AC16">
            <v>470743.60759493674</v>
          </cell>
          <cell r="AD16">
            <v>475545.04576436221</v>
          </cell>
          <cell r="AE16">
            <v>462600.71372930869</v>
          </cell>
          <cell r="AF16">
            <v>448422.95423563779</v>
          </cell>
          <cell r="AG16">
            <v>538984.42259006819</v>
          </cell>
          <cell r="AH16">
            <v>586482.30769230775</v>
          </cell>
          <cell r="AI16">
            <v>798756.27458617336</v>
          </cell>
        </row>
        <row r="17">
          <cell r="A17">
            <v>14</v>
          </cell>
          <cell r="T17">
            <v>14</v>
          </cell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49510</v>
          </cell>
          <cell r="D21">
            <v>594118</v>
          </cell>
          <cell r="E21">
            <v>49122</v>
          </cell>
          <cell r="F21">
            <v>49295</v>
          </cell>
          <cell r="G21">
            <v>49571</v>
          </cell>
          <cell r="H21">
            <v>49634</v>
          </cell>
          <cell r="I21">
            <v>49645</v>
          </cell>
          <cell r="J21">
            <v>49546</v>
          </cell>
          <cell r="K21">
            <v>49545</v>
          </cell>
          <cell r="L21">
            <v>49293</v>
          </cell>
          <cell r="M21">
            <v>49380</v>
          </cell>
          <cell r="N21">
            <v>49464</v>
          </cell>
          <cell r="O21">
            <v>49667</v>
          </cell>
          <cell r="P21">
            <v>49956</v>
          </cell>
          <cell r="T21">
            <v>18</v>
          </cell>
          <cell r="U21" t="str">
            <v>Residential</v>
          </cell>
          <cell r="V21"/>
          <cell r="W21"/>
          <cell r="X21">
            <v>48333</v>
          </cell>
          <cell r="Y21">
            <v>48459</v>
          </cell>
          <cell r="Z21">
            <v>48701</v>
          </cell>
          <cell r="AA21">
            <v>48996</v>
          </cell>
          <cell r="AB21">
            <v>48651</v>
          </cell>
          <cell r="AC21">
            <v>48982</v>
          </cell>
          <cell r="AD21">
            <v>48764</v>
          </cell>
          <cell r="AE21">
            <v>48685</v>
          </cell>
          <cell r="AF21">
            <v>48611</v>
          </cell>
          <cell r="AG21">
            <v>48573</v>
          </cell>
          <cell r="AH21">
            <v>48711</v>
          </cell>
          <cell r="AI21">
            <v>48908</v>
          </cell>
        </row>
        <row r="22">
          <cell r="A22">
            <v>19</v>
          </cell>
          <cell r="B22" t="str">
            <v>Commercial Small</v>
          </cell>
          <cell r="C22">
            <v>3316</v>
          </cell>
          <cell r="D22">
            <v>39796</v>
          </cell>
          <cell r="E22">
            <v>3298</v>
          </cell>
          <cell r="F22">
            <v>3308</v>
          </cell>
          <cell r="G22">
            <v>3324</v>
          </cell>
          <cell r="H22">
            <v>3322</v>
          </cell>
          <cell r="I22">
            <v>3303</v>
          </cell>
          <cell r="J22">
            <v>3298</v>
          </cell>
          <cell r="K22">
            <v>3315</v>
          </cell>
          <cell r="L22">
            <v>3311</v>
          </cell>
          <cell r="M22">
            <v>3310</v>
          </cell>
          <cell r="N22">
            <v>3321</v>
          </cell>
          <cell r="O22">
            <v>3335</v>
          </cell>
          <cell r="P22">
            <v>3351</v>
          </cell>
          <cell r="T22">
            <v>19</v>
          </cell>
          <cell r="U22" t="str">
            <v>Commercial Small</v>
          </cell>
          <cell r="X22">
            <v>3323</v>
          </cell>
          <cell r="Y22">
            <v>3326</v>
          </cell>
          <cell r="Z22">
            <v>3350</v>
          </cell>
          <cell r="AA22">
            <v>3369</v>
          </cell>
          <cell r="AB22">
            <v>3327</v>
          </cell>
          <cell r="AC22">
            <v>3340</v>
          </cell>
          <cell r="AD22">
            <v>3318</v>
          </cell>
          <cell r="AE22">
            <v>3298</v>
          </cell>
          <cell r="AF22">
            <v>3301</v>
          </cell>
          <cell r="AG22">
            <v>3284</v>
          </cell>
          <cell r="AH22">
            <v>3276</v>
          </cell>
          <cell r="AI22">
            <v>3291</v>
          </cell>
        </row>
        <row r="23">
          <cell r="A23">
            <v>20</v>
          </cell>
          <cell r="B23" t="str">
            <v>Commercial Large</v>
          </cell>
          <cell r="C23">
            <v>961</v>
          </cell>
          <cell r="D23">
            <v>11534</v>
          </cell>
          <cell r="E23">
            <v>1005</v>
          </cell>
          <cell r="F23">
            <v>1008</v>
          </cell>
          <cell r="G23">
            <v>1011</v>
          </cell>
          <cell r="H23">
            <v>1004</v>
          </cell>
          <cell r="I23">
            <v>993</v>
          </cell>
          <cell r="J23">
            <v>975</v>
          </cell>
          <cell r="K23">
            <v>958</v>
          </cell>
          <cell r="L23">
            <v>943</v>
          </cell>
          <cell r="M23">
            <v>928</v>
          </cell>
          <cell r="N23">
            <v>922</v>
          </cell>
          <cell r="O23">
            <v>893</v>
          </cell>
          <cell r="P23">
            <v>894</v>
          </cell>
          <cell r="T23">
            <v>20</v>
          </cell>
          <cell r="U23" t="str">
            <v>Commercial Large</v>
          </cell>
          <cell r="X23">
            <v>1158</v>
          </cell>
          <cell r="Y23">
            <v>1151</v>
          </cell>
          <cell r="Z23">
            <v>1167</v>
          </cell>
          <cell r="AA23">
            <v>1158</v>
          </cell>
          <cell r="AB23">
            <v>1120</v>
          </cell>
          <cell r="AC23">
            <v>1109</v>
          </cell>
          <cell r="AD23">
            <v>1078</v>
          </cell>
          <cell r="AE23">
            <v>1068</v>
          </cell>
          <cell r="AF23">
            <v>1053</v>
          </cell>
          <cell r="AG23">
            <v>1043</v>
          </cell>
          <cell r="AH23">
            <v>1017</v>
          </cell>
          <cell r="AI23">
            <v>1017</v>
          </cell>
        </row>
        <row r="24">
          <cell r="A24">
            <v>21</v>
          </cell>
          <cell r="B24" t="str">
            <v>Outdoor Lights</v>
          </cell>
          <cell r="C24">
            <v>39</v>
          </cell>
          <cell r="D24">
            <v>464</v>
          </cell>
          <cell r="E24">
            <v>44</v>
          </cell>
          <cell r="F24">
            <v>43</v>
          </cell>
          <cell r="G24">
            <v>41</v>
          </cell>
          <cell r="H24">
            <v>41</v>
          </cell>
          <cell r="I24">
            <v>41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N24">
            <v>38</v>
          </cell>
          <cell r="O24">
            <v>37</v>
          </cell>
          <cell r="P24">
            <v>25</v>
          </cell>
          <cell r="T24">
            <v>21</v>
          </cell>
          <cell r="U24" t="str">
            <v>Outdoor Lights</v>
          </cell>
          <cell r="X24">
            <v>43</v>
          </cell>
          <cell r="Y24">
            <v>43</v>
          </cell>
          <cell r="Z24">
            <v>43</v>
          </cell>
          <cell r="AA24">
            <v>43</v>
          </cell>
          <cell r="AB24">
            <v>43</v>
          </cell>
          <cell r="AC24">
            <v>43</v>
          </cell>
          <cell r="AD24">
            <v>43</v>
          </cell>
          <cell r="AE24">
            <v>43</v>
          </cell>
          <cell r="AF24">
            <v>43</v>
          </cell>
          <cell r="AG24">
            <v>42</v>
          </cell>
          <cell r="AH24">
            <v>44</v>
          </cell>
          <cell r="AI24">
            <v>45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/>
          <cell r="T25">
            <v>22</v>
          </cell>
          <cell r="U25" t="str">
            <v>Interdepartmental</v>
          </cell>
          <cell r="X25"/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/>
        </row>
        <row r="26">
          <cell r="A26">
            <v>23</v>
          </cell>
          <cell r="B26" t="str">
            <v>Commercial Small Transp</v>
          </cell>
          <cell r="C26">
            <v>470</v>
          </cell>
          <cell r="D26">
            <v>5644</v>
          </cell>
          <cell r="E26">
            <v>410</v>
          </cell>
          <cell r="F26">
            <v>420</v>
          </cell>
          <cell r="G26">
            <v>428</v>
          </cell>
          <cell r="H26">
            <v>435</v>
          </cell>
          <cell r="I26">
            <v>453</v>
          </cell>
          <cell r="J26">
            <v>461</v>
          </cell>
          <cell r="K26">
            <v>467</v>
          </cell>
          <cell r="L26">
            <v>482</v>
          </cell>
          <cell r="M26">
            <v>508</v>
          </cell>
          <cell r="N26">
            <v>517</v>
          </cell>
          <cell r="O26">
            <v>523</v>
          </cell>
          <cell r="P26">
            <v>540</v>
          </cell>
          <cell r="T26">
            <v>23</v>
          </cell>
          <cell r="U26" t="str">
            <v>Commercial Small Transp</v>
          </cell>
          <cell r="X26">
            <v>271</v>
          </cell>
          <cell r="Y26">
            <v>273</v>
          </cell>
          <cell r="Z26">
            <v>275</v>
          </cell>
          <cell r="AA26">
            <v>289</v>
          </cell>
          <cell r="AB26">
            <v>300</v>
          </cell>
          <cell r="AC26">
            <v>320</v>
          </cell>
          <cell r="AD26">
            <v>326</v>
          </cell>
          <cell r="AE26">
            <v>339</v>
          </cell>
          <cell r="AF26">
            <v>354</v>
          </cell>
          <cell r="AG26">
            <v>386</v>
          </cell>
          <cell r="AH26">
            <v>388</v>
          </cell>
          <cell r="AI26">
            <v>406</v>
          </cell>
        </row>
        <row r="27">
          <cell r="A27">
            <v>24</v>
          </cell>
          <cell r="B27" t="str">
            <v>Commercial Large Transp</v>
          </cell>
          <cell r="C27">
            <v>833</v>
          </cell>
          <cell r="D27">
            <v>9991</v>
          </cell>
          <cell r="E27">
            <v>777</v>
          </cell>
          <cell r="F27">
            <v>784</v>
          </cell>
          <cell r="G27">
            <v>789</v>
          </cell>
          <cell r="H27">
            <v>796</v>
          </cell>
          <cell r="I27">
            <v>806</v>
          </cell>
          <cell r="J27">
            <v>813</v>
          </cell>
          <cell r="K27">
            <v>827</v>
          </cell>
          <cell r="L27">
            <v>844</v>
          </cell>
          <cell r="M27">
            <v>861</v>
          </cell>
          <cell r="N27">
            <v>888</v>
          </cell>
          <cell r="O27">
            <v>895</v>
          </cell>
          <cell r="P27">
            <v>911</v>
          </cell>
          <cell r="T27">
            <v>24</v>
          </cell>
          <cell r="U27" t="str">
            <v>Commercial Large Transp</v>
          </cell>
          <cell r="X27">
            <v>618</v>
          </cell>
          <cell r="Y27">
            <v>624</v>
          </cell>
          <cell r="Z27">
            <v>630</v>
          </cell>
          <cell r="AA27">
            <v>666</v>
          </cell>
          <cell r="AB27">
            <v>680</v>
          </cell>
          <cell r="AC27">
            <v>695</v>
          </cell>
          <cell r="AD27">
            <v>715</v>
          </cell>
          <cell r="AE27">
            <v>721</v>
          </cell>
          <cell r="AF27">
            <v>724</v>
          </cell>
          <cell r="AG27">
            <v>760</v>
          </cell>
          <cell r="AH27">
            <v>758</v>
          </cell>
          <cell r="AI27">
            <v>773</v>
          </cell>
        </row>
        <row r="28">
          <cell r="A28">
            <v>25</v>
          </cell>
          <cell r="B28" t="str">
            <v>Interruptible Transp</v>
          </cell>
          <cell r="C28">
            <v>16</v>
          </cell>
          <cell r="D28">
            <v>192</v>
          </cell>
          <cell r="E28">
            <v>16</v>
          </cell>
          <cell r="F28">
            <v>16</v>
          </cell>
          <cell r="G28">
            <v>16</v>
          </cell>
          <cell r="H28">
            <v>16</v>
          </cell>
          <cell r="I28">
            <v>16</v>
          </cell>
          <cell r="J28">
            <v>16</v>
          </cell>
          <cell r="K28">
            <v>14</v>
          </cell>
          <cell r="L28">
            <v>16</v>
          </cell>
          <cell r="M28">
            <v>16</v>
          </cell>
          <cell r="N28">
            <v>16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14</v>
          </cell>
          <cell r="Y28">
            <v>14</v>
          </cell>
          <cell r="Z28">
            <v>14</v>
          </cell>
          <cell r="AA28">
            <v>13</v>
          </cell>
          <cell r="AB28">
            <v>13</v>
          </cell>
          <cell r="AC28">
            <v>13</v>
          </cell>
          <cell r="AD28">
            <v>14</v>
          </cell>
          <cell r="AE28">
            <v>14</v>
          </cell>
          <cell r="AF28">
            <v>14</v>
          </cell>
          <cell r="AG28">
            <v>15</v>
          </cell>
          <cell r="AH28">
            <v>15</v>
          </cell>
          <cell r="AI28">
            <v>15</v>
          </cell>
        </row>
        <row r="29">
          <cell r="A29">
            <v>26</v>
          </cell>
          <cell r="B29" t="str">
            <v>OSS</v>
          </cell>
          <cell r="C29"/>
          <cell r="D29">
            <v>0</v>
          </cell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T29">
            <v>26</v>
          </cell>
          <cell r="U29" t="str">
            <v>OSS</v>
          </cell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A30">
            <v>27</v>
          </cell>
          <cell r="D30">
            <v>661739</v>
          </cell>
          <cell r="E30">
            <v>54672</v>
          </cell>
          <cell r="F30">
            <v>54874</v>
          </cell>
          <cell r="G30">
            <v>55180</v>
          </cell>
          <cell r="H30">
            <v>55248</v>
          </cell>
          <cell r="I30">
            <v>55257</v>
          </cell>
          <cell r="J30">
            <v>55148</v>
          </cell>
          <cell r="K30">
            <v>55165</v>
          </cell>
          <cell r="L30">
            <v>54927</v>
          </cell>
          <cell r="M30">
            <v>55041</v>
          </cell>
          <cell r="N30">
            <v>55166</v>
          </cell>
          <cell r="O30">
            <v>55367</v>
          </cell>
          <cell r="P30">
            <v>55694</v>
          </cell>
          <cell r="T30">
            <v>27</v>
          </cell>
          <cell r="V30"/>
          <cell r="W30"/>
          <cell r="X30">
            <v>53760</v>
          </cell>
          <cell r="Y30">
            <v>53890</v>
          </cell>
          <cell r="Z30">
            <v>54180</v>
          </cell>
          <cell r="AA30">
            <v>54534</v>
          </cell>
          <cell r="AB30">
            <v>54134</v>
          </cell>
          <cell r="AC30">
            <v>54502</v>
          </cell>
          <cell r="AD30">
            <v>54258</v>
          </cell>
          <cell r="AE30">
            <v>54168</v>
          </cell>
          <cell r="AF30">
            <v>54100</v>
          </cell>
          <cell r="AG30">
            <v>54103</v>
          </cell>
          <cell r="AH30">
            <v>54209</v>
          </cell>
          <cell r="AI30">
            <v>54455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1227881.266335573</v>
          </cell>
          <cell r="E33">
            <v>169361</v>
          </cell>
          <cell r="F33">
            <v>164706</v>
          </cell>
          <cell r="G33">
            <v>130840</v>
          </cell>
          <cell r="H33">
            <v>114318</v>
          </cell>
          <cell r="I33">
            <v>83663</v>
          </cell>
          <cell r="J33">
            <v>70623</v>
          </cell>
          <cell r="K33">
            <v>65529</v>
          </cell>
          <cell r="L33">
            <v>56685.266335573084</v>
          </cell>
          <cell r="M33">
            <v>61436</v>
          </cell>
          <cell r="N33">
            <v>66489</v>
          </cell>
          <cell r="O33">
            <v>94127</v>
          </cell>
          <cell r="P33">
            <v>150104</v>
          </cell>
          <cell r="T33">
            <v>30</v>
          </cell>
          <cell r="U33" t="str">
            <v>Residential</v>
          </cell>
          <cell r="V33"/>
          <cell r="W33"/>
          <cell r="X33">
            <v>149426</v>
          </cell>
          <cell r="Y33">
            <v>140463</v>
          </cell>
          <cell r="Z33">
            <v>142340</v>
          </cell>
          <cell r="AA33">
            <v>123528</v>
          </cell>
          <cell r="AB33">
            <v>88598</v>
          </cell>
          <cell r="AC33">
            <v>72960</v>
          </cell>
          <cell r="AD33">
            <v>60882</v>
          </cell>
          <cell r="AE33">
            <v>60009</v>
          </cell>
          <cell r="AF33">
            <v>60791</v>
          </cell>
          <cell r="AG33">
            <v>66716</v>
          </cell>
          <cell r="AH33">
            <v>83273</v>
          </cell>
          <cell r="AI33">
            <v>116384</v>
          </cell>
        </row>
        <row r="34">
          <cell r="A34">
            <v>31</v>
          </cell>
          <cell r="B34" t="str">
            <v>Commercial Small</v>
          </cell>
          <cell r="D34">
            <v>870446.32486123289</v>
          </cell>
          <cell r="E34">
            <v>96474</v>
          </cell>
          <cell r="F34">
            <v>93006</v>
          </cell>
          <cell r="G34">
            <v>83773</v>
          </cell>
          <cell r="H34">
            <v>78454</v>
          </cell>
          <cell r="I34">
            <v>65499</v>
          </cell>
          <cell r="J34">
            <v>59915</v>
          </cell>
          <cell r="K34">
            <v>59080</v>
          </cell>
          <cell r="L34">
            <v>53036.324861232832</v>
          </cell>
          <cell r="M34">
            <v>55851</v>
          </cell>
          <cell r="N34">
            <v>61221</v>
          </cell>
          <cell r="O34">
            <v>74069</v>
          </cell>
          <cell r="P34">
            <v>90068</v>
          </cell>
          <cell r="T34">
            <v>31</v>
          </cell>
          <cell r="U34" t="str">
            <v>Commercial Small</v>
          </cell>
          <cell r="X34">
            <v>85106</v>
          </cell>
          <cell r="Y34">
            <v>85652</v>
          </cell>
          <cell r="Z34">
            <v>87847</v>
          </cell>
          <cell r="AA34">
            <v>77867</v>
          </cell>
          <cell r="AB34">
            <v>69185</v>
          </cell>
          <cell r="AC34">
            <v>61320</v>
          </cell>
          <cell r="AD34">
            <v>53753</v>
          </cell>
          <cell r="AE34">
            <v>54902</v>
          </cell>
          <cell r="AF34">
            <v>53127</v>
          </cell>
          <cell r="AG34">
            <v>56442</v>
          </cell>
          <cell r="AH34">
            <v>65792</v>
          </cell>
          <cell r="AI34">
            <v>77807</v>
          </cell>
        </row>
        <row r="35">
          <cell r="A35">
            <v>32</v>
          </cell>
          <cell r="B35" t="str">
            <v>Commercial Large</v>
          </cell>
          <cell r="D35">
            <v>1623193.018404908</v>
          </cell>
          <cell r="E35">
            <v>174571</v>
          </cell>
          <cell r="F35">
            <v>163793</v>
          </cell>
          <cell r="G35">
            <v>157229</v>
          </cell>
          <cell r="H35">
            <v>146029</v>
          </cell>
          <cell r="I35">
            <v>129681</v>
          </cell>
          <cell r="J35">
            <v>116469</v>
          </cell>
          <cell r="K35">
            <v>122643</v>
          </cell>
          <cell r="L35">
            <v>103319.01840490797</v>
          </cell>
          <cell r="M35">
            <v>103395</v>
          </cell>
          <cell r="N35">
            <v>115464</v>
          </cell>
          <cell r="O35">
            <v>131189</v>
          </cell>
          <cell r="P35">
            <v>159411</v>
          </cell>
          <cell r="T35">
            <v>32</v>
          </cell>
          <cell r="U35" t="str">
            <v>Commercial Large</v>
          </cell>
          <cell r="X35">
            <v>182704</v>
          </cell>
          <cell r="Y35">
            <v>177379</v>
          </cell>
          <cell r="Z35">
            <v>176387</v>
          </cell>
          <cell r="AA35">
            <v>186491</v>
          </cell>
          <cell r="AB35">
            <v>156880</v>
          </cell>
          <cell r="AC35">
            <v>136676</v>
          </cell>
          <cell r="AD35">
            <v>111828</v>
          </cell>
          <cell r="AE35">
            <v>118620</v>
          </cell>
          <cell r="AF35">
            <v>120625</v>
          </cell>
          <cell r="AG35">
            <v>131183</v>
          </cell>
          <cell r="AH35">
            <v>137604</v>
          </cell>
          <cell r="AI35">
            <v>160002</v>
          </cell>
        </row>
        <row r="36">
          <cell r="A36">
            <v>33</v>
          </cell>
          <cell r="B36" t="str">
            <v>Outdoor Lights</v>
          </cell>
          <cell r="D36">
            <v>20315.00496640374</v>
          </cell>
          <cell r="E36">
            <v>1717</v>
          </cell>
          <cell r="F36">
            <v>1845</v>
          </cell>
          <cell r="G36">
            <v>1782</v>
          </cell>
          <cell r="H36">
            <v>1848</v>
          </cell>
          <cell r="I36">
            <v>1782</v>
          </cell>
          <cell r="J36">
            <v>1753</v>
          </cell>
          <cell r="K36">
            <v>1753</v>
          </cell>
          <cell r="L36">
            <v>1721.0049664037394</v>
          </cell>
          <cell r="M36">
            <v>1721</v>
          </cell>
          <cell r="N36">
            <v>1622</v>
          </cell>
          <cell r="O36">
            <v>1677</v>
          </cell>
          <cell r="P36">
            <v>1094</v>
          </cell>
          <cell r="T36">
            <v>33</v>
          </cell>
          <cell r="U36" t="str">
            <v>Outdoor Lights</v>
          </cell>
          <cell r="X36">
            <v>1892</v>
          </cell>
          <cell r="Y36">
            <v>1892</v>
          </cell>
          <cell r="Z36">
            <v>1892</v>
          </cell>
          <cell r="AA36">
            <v>1892</v>
          </cell>
          <cell r="AB36">
            <v>1892</v>
          </cell>
          <cell r="AC36">
            <v>0</v>
          </cell>
          <cell r="AD36">
            <v>1892</v>
          </cell>
          <cell r="AE36">
            <v>1867</v>
          </cell>
          <cell r="AF36">
            <v>1845</v>
          </cell>
          <cell r="AG36">
            <v>1845</v>
          </cell>
          <cell r="AH36">
            <v>1777</v>
          </cell>
          <cell r="AI36">
            <v>1795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/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Unbilled</v>
          </cell>
          <cell r="D38">
            <v>33546.923076923085</v>
          </cell>
          <cell r="E38">
            <v>-18022.395326192796</v>
          </cell>
          <cell r="F38">
            <v>-19704.965920155795</v>
          </cell>
          <cell r="G38">
            <v>8510.2239532619278</v>
          </cell>
          <cell r="H38">
            <v>-31101.265822784811</v>
          </cell>
          <cell r="I38">
            <v>-3908.4712755598835</v>
          </cell>
          <cell r="J38">
            <v>-16358.325219084714</v>
          </cell>
          <cell r="K38">
            <v>-25945.472249269718</v>
          </cell>
          <cell r="L38">
            <v>26882.852969814998</v>
          </cell>
          <cell r="M38">
            <v>-15740.019474196692</v>
          </cell>
          <cell r="N38">
            <v>13364.167478091529</v>
          </cell>
          <cell r="O38">
            <v>69934.761441090566</v>
          </cell>
          <cell r="P38">
            <v>45635.832521908473</v>
          </cell>
          <cell r="T38">
            <v>35</v>
          </cell>
          <cell r="U38" t="str">
            <v>Unbilled</v>
          </cell>
          <cell r="X38">
            <v>-14500.486854917235</v>
          </cell>
          <cell r="Y38">
            <v>-21146.056475170401</v>
          </cell>
          <cell r="Z38">
            <v>2229.7955209347615</v>
          </cell>
          <cell r="AA38">
            <v>-32930.866601752678</v>
          </cell>
          <cell r="AB38">
            <v>-40629.990262901658</v>
          </cell>
          <cell r="AC38">
            <v>-41911.392405063292</v>
          </cell>
          <cell r="AD38">
            <v>12739.045764362221</v>
          </cell>
          <cell r="AE38">
            <v>-6878.2862706913347</v>
          </cell>
          <cell r="AF38">
            <v>-30739.045764362221</v>
          </cell>
          <cell r="AG38">
            <v>28058.422590068163</v>
          </cell>
          <cell r="AH38">
            <v>28692.307692307695</v>
          </cell>
          <cell r="AI38">
            <v>37434.27458617332</v>
          </cell>
        </row>
        <row r="39">
          <cell r="A39">
            <v>36</v>
          </cell>
          <cell r="B39" t="str">
            <v>Commercial Small Transp</v>
          </cell>
          <cell r="D39">
            <v>222418.42779238484</v>
          </cell>
          <cell r="E39">
            <v>23413</v>
          </cell>
          <cell r="F39">
            <v>24948</v>
          </cell>
          <cell r="G39">
            <v>18851</v>
          </cell>
          <cell r="H39">
            <v>17456</v>
          </cell>
          <cell r="I39">
            <v>15953</v>
          </cell>
          <cell r="J39">
            <v>15055</v>
          </cell>
          <cell r="K39">
            <v>15647</v>
          </cell>
          <cell r="L39">
            <v>14203.427792384848</v>
          </cell>
          <cell r="M39">
            <v>16747</v>
          </cell>
          <cell r="N39">
            <v>14466</v>
          </cell>
          <cell r="O39">
            <v>20676</v>
          </cell>
          <cell r="P39">
            <v>25003</v>
          </cell>
          <cell r="T39">
            <v>36</v>
          </cell>
          <cell r="U39" t="str">
            <v>Commercial Small Transp</v>
          </cell>
          <cell r="X39">
            <v>11564</v>
          </cell>
          <cell r="Y39">
            <v>12638</v>
          </cell>
          <cell r="Z39">
            <v>13060</v>
          </cell>
          <cell r="AA39">
            <v>11856</v>
          </cell>
          <cell r="AB39">
            <v>10324</v>
          </cell>
          <cell r="AC39">
            <v>11529</v>
          </cell>
          <cell r="AD39">
            <v>10036</v>
          </cell>
          <cell r="AE39">
            <v>10938</v>
          </cell>
          <cell r="AF39">
            <v>11667</v>
          </cell>
          <cell r="AG39">
            <v>12937</v>
          </cell>
          <cell r="AH39">
            <v>16111</v>
          </cell>
          <cell r="AI39">
            <v>18730</v>
          </cell>
        </row>
        <row r="40">
          <cell r="A40">
            <v>37</v>
          </cell>
          <cell r="B40" t="str">
            <v>Commercial Large Transp</v>
          </cell>
          <cell r="D40">
            <v>2428491.9400136331</v>
          </cell>
          <cell r="E40">
            <v>228407</v>
          </cell>
          <cell r="F40">
            <v>213661</v>
          </cell>
          <cell r="G40">
            <v>218651</v>
          </cell>
          <cell r="H40">
            <v>208971</v>
          </cell>
          <cell r="I40">
            <v>196600</v>
          </cell>
          <cell r="J40">
            <v>186120</v>
          </cell>
          <cell r="K40">
            <v>195515</v>
          </cell>
          <cell r="L40">
            <v>178663.94001363326</v>
          </cell>
          <cell r="M40">
            <v>176205</v>
          </cell>
          <cell r="N40">
            <v>190336</v>
          </cell>
          <cell r="O40">
            <v>206048</v>
          </cell>
          <cell r="P40">
            <v>229314</v>
          </cell>
          <cell r="T40">
            <v>37</v>
          </cell>
          <cell r="U40" t="str">
            <v>Commercial Large Transp</v>
          </cell>
          <cell r="X40">
            <v>179108</v>
          </cell>
          <cell r="Y40">
            <v>177283</v>
          </cell>
          <cell r="Z40">
            <v>184665</v>
          </cell>
          <cell r="AA40">
            <v>174817</v>
          </cell>
          <cell r="AB40">
            <v>180935</v>
          </cell>
          <cell r="AC40">
            <v>167209</v>
          </cell>
          <cell r="AD40">
            <v>164197</v>
          </cell>
          <cell r="AE40">
            <v>163371</v>
          </cell>
          <cell r="AF40">
            <v>160890</v>
          </cell>
          <cell r="AG40">
            <v>171987</v>
          </cell>
          <cell r="AH40">
            <v>183279</v>
          </cell>
          <cell r="AI40">
            <v>203790</v>
          </cell>
        </row>
        <row r="41">
          <cell r="A41">
            <v>38</v>
          </cell>
          <cell r="B41" t="str">
            <v>Interruptible Transp</v>
          </cell>
          <cell r="D41">
            <v>636853.25085207913</v>
          </cell>
          <cell r="E41">
            <v>57492</v>
          </cell>
          <cell r="F41">
            <v>49915</v>
          </cell>
          <cell r="G41">
            <v>56611</v>
          </cell>
          <cell r="H41">
            <v>51592</v>
          </cell>
          <cell r="I41">
            <v>49952</v>
          </cell>
          <cell r="J41">
            <v>47697</v>
          </cell>
          <cell r="K41">
            <v>39576</v>
          </cell>
          <cell r="L41">
            <v>53496.250852079073</v>
          </cell>
          <cell r="M41">
            <v>47795</v>
          </cell>
          <cell r="N41">
            <v>56983</v>
          </cell>
          <cell r="O41">
            <v>65183</v>
          </cell>
          <cell r="P41">
            <v>60561</v>
          </cell>
          <cell r="T41">
            <v>38</v>
          </cell>
          <cell r="U41" t="str">
            <v>Interruptible Transp</v>
          </cell>
          <cell r="X41">
            <v>55851</v>
          </cell>
          <cell r="Y41">
            <v>50558</v>
          </cell>
          <cell r="Z41">
            <v>59765</v>
          </cell>
          <cell r="AA41">
            <v>46746</v>
          </cell>
          <cell r="AB41">
            <v>48067</v>
          </cell>
          <cell r="AC41">
            <v>42647</v>
          </cell>
          <cell r="AD41">
            <v>47549</v>
          </cell>
          <cell r="AE41">
            <v>47624</v>
          </cell>
          <cell r="AF41">
            <v>46877</v>
          </cell>
          <cell r="AG41">
            <v>51879</v>
          </cell>
          <cell r="AH41">
            <v>54850</v>
          </cell>
          <cell r="AI41">
            <v>51187</v>
          </cell>
        </row>
        <row r="42">
          <cell r="A42">
            <v>39</v>
          </cell>
          <cell r="D42">
            <v>7063146.1563031385</v>
          </cell>
          <cell r="E42">
            <v>733412.60467380728</v>
          </cell>
          <cell r="F42">
            <v>692169.03407984413</v>
          </cell>
          <cell r="G42">
            <v>676247.22395326197</v>
          </cell>
          <cell r="H42">
            <v>587566.73417721526</v>
          </cell>
          <cell r="I42">
            <v>539221.52872444014</v>
          </cell>
          <cell r="J42">
            <v>481273.67478091526</v>
          </cell>
          <cell r="K42">
            <v>473797.52775073028</v>
          </cell>
          <cell r="L42">
            <v>488008.08619602979</v>
          </cell>
          <cell r="M42">
            <v>447409.98052580329</v>
          </cell>
          <cell r="N42">
            <v>519945.16747809155</v>
          </cell>
          <cell r="O42">
            <v>662903.76144109061</v>
          </cell>
          <cell r="P42">
            <v>761190.83252190845</v>
          </cell>
          <cell r="T42">
            <v>39</v>
          </cell>
          <cell r="U42"/>
          <cell r="V42"/>
          <cell r="W42"/>
          <cell r="X42">
            <v>651150.51314508275</v>
          </cell>
          <cell r="Y42">
            <v>624718.94352482958</v>
          </cell>
          <cell r="Z42">
            <v>668185.79552093474</v>
          </cell>
          <cell r="AA42">
            <v>590266.1333982473</v>
          </cell>
          <cell r="AB42">
            <v>515251.00973709836</v>
          </cell>
          <cell r="AC42">
            <v>450429.60759493674</v>
          </cell>
          <cell r="AD42">
            <v>462876.04576436221</v>
          </cell>
          <cell r="AE42">
            <v>450452.71372930869</v>
          </cell>
          <cell r="AF42">
            <v>425082.95423563779</v>
          </cell>
          <cell r="AG42">
            <v>521047.42259006819</v>
          </cell>
          <cell r="AH42">
            <v>571378.30769230775</v>
          </cell>
          <cell r="AI42">
            <v>667129.27458617324</v>
          </cell>
        </row>
        <row r="43">
          <cell r="A43">
            <v>40</v>
          </cell>
          <cell r="B43" t="str">
            <v>Indiantown</v>
          </cell>
          <cell r="E43"/>
          <cell r="F43"/>
          <cell r="G43"/>
          <cell r="H43"/>
          <cell r="I43"/>
          <cell r="J43"/>
          <cell r="T43">
            <v>40</v>
          </cell>
          <cell r="U43" t="str">
            <v>Indiantown</v>
          </cell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672</v>
          </cell>
          <cell r="F45">
            <v>676</v>
          </cell>
          <cell r="G45">
            <v>675</v>
          </cell>
          <cell r="H45">
            <v>672</v>
          </cell>
          <cell r="I45">
            <v>672</v>
          </cell>
          <cell r="J45">
            <v>665</v>
          </cell>
          <cell r="K45">
            <v>666</v>
          </cell>
          <cell r="L45">
            <v>666</v>
          </cell>
          <cell r="M45">
            <v>674</v>
          </cell>
          <cell r="N45">
            <v>676</v>
          </cell>
          <cell r="O45">
            <v>677</v>
          </cell>
          <cell r="P45">
            <v>677</v>
          </cell>
          <cell r="T45">
            <v>42</v>
          </cell>
          <cell r="U45" t="str">
            <v>TS1 - RS</v>
          </cell>
          <cell r="X45">
            <v>680</v>
          </cell>
          <cell r="Y45">
            <v>681</v>
          </cell>
          <cell r="Z45">
            <v>683</v>
          </cell>
          <cell r="AA45">
            <v>680</v>
          </cell>
          <cell r="AB45">
            <v>681</v>
          </cell>
          <cell r="AC45">
            <v>678</v>
          </cell>
          <cell r="AD45">
            <v>680</v>
          </cell>
          <cell r="AE45">
            <v>674</v>
          </cell>
          <cell r="AF45">
            <v>676</v>
          </cell>
          <cell r="AG45">
            <v>673</v>
          </cell>
          <cell r="AH45">
            <v>674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U46" t="str">
            <v>TS1 - Com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23</v>
          </cell>
          <cell r="G47">
            <v>24</v>
          </cell>
          <cell r="H47">
            <v>22</v>
          </cell>
          <cell r="I47">
            <v>22</v>
          </cell>
          <cell r="J47">
            <v>22</v>
          </cell>
          <cell r="K47">
            <v>21</v>
          </cell>
          <cell r="L47">
            <v>21</v>
          </cell>
          <cell r="M47">
            <v>21</v>
          </cell>
          <cell r="N47">
            <v>21</v>
          </cell>
          <cell r="O47">
            <v>24</v>
          </cell>
          <cell r="P47">
            <v>24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24</v>
          </cell>
          <cell r="AC47">
            <v>24</v>
          </cell>
          <cell r="AD47">
            <v>24</v>
          </cell>
          <cell r="AE47">
            <v>24</v>
          </cell>
          <cell r="AF47">
            <v>24</v>
          </cell>
          <cell r="AG47">
            <v>25</v>
          </cell>
          <cell r="AH47">
            <v>24</v>
          </cell>
          <cell r="AI47">
            <v>24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D50">
            <v>697.75</v>
          </cell>
          <cell r="E50">
            <v>699</v>
          </cell>
          <cell r="F50">
            <v>702</v>
          </cell>
          <cell r="G50">
            <v>702</v>
          </cell>
          <cell r="H50">
            <v>697</v>
          </cell>
          <cell r="I50">
            <v>697</v>
          </cell>
          <cell r="J50">
            <v>690</v>
          </cell>
          <cell r="K50">
            <v>690</v>
          </cell>
          <cell r="L50">
            <v>690</v>
          </cell>
          <cell r="M50">
            <v>698</v>
          </cell>
          <cell r="N50">
            <v>700</v>
          </cell>
          <cell r="O50">
            <v>704</v>
          </cell>
          <cell r="P50">
            <v>704</v>
          </cell>
          <cell r="T50">
            <v>47</v>
          </cell>
          <cell r="U50"/>
          <cell r="V50"/>
          <cell r="W50"/>
          <cell r="X50">
            <v>707</v>
          </cell>
          <cell r="Y50">
            <v>708</v>
          </cell>
          <cell r="Z50">
            <v>710</v>
          </cell>
          <cell r="AA50">
            <v>707</v>
          </cell>
          <cell r="AB50">
            <v>708</v>
          </cell>
          <cell r="AC50">
            <v>705</v>
          </cell>
          <cell r="AD50">
            <v>707</v>
          </cell>
          <cell r="AE50">
            <v>701</v>
          </cell>
          <cell r="AF50">
            <v>703</v>
          </cell>
          <cell r="AG50">
            <v>701</v>
          </cell>
          <cell r="AH50">
            <v>701</v>
          </cell>
          <cell r="AI50">
            <v>699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11614</v>
          </cell>
          <cell r="E53">
            <v>1232</v>
          </cell>
          <cell r="F53">
            <v>1023</v>
          </cell>
          <cell r="G53">
            <v>997</v>
          </cell>
          <cell r="H53">
            <v>1040</v>
          </cell>
          <cell r="I53">
            <v>905</v>
          </cell>
          <cell r="J53">
            <v>829</v>
          </cell>
          <cell r="K53">
            <v>895</v>
          </cell>
          <cell r="L53">
            <v>793</v>
          </cell>
          <cell r="M53">
            <v>944</v>
          </cell>
          <cell r="N53">
            <v>882</v>
          </cell>
          <cell r="O53">
            <v>924</v>
          </cell>
          <cell r="P53">
            <v>1150</v>
          </cell>
          <cell r="T53">
            <v>50</v>
          </cell>
          <cell r="U53" t="str">
            <v>TS1 - RS</v>
          </cell>
          <cell r="V53"/>
          <cell r="W53"/>
          <cell r="X53">
            <v>1064</v>
          </cell>
          <cell r="Y53">
            <v>1170</v>
          </cell>
          <cell r="Z53">
            <v>1038</v>
          </cell>
          <cell r="AA53">
            <v>1086</v>
          </cell>
          <cell r="AB53">
            <v>1121</v>
          </cell>
          <cell r="AC53">
            <v>765</v>
          </cell>
          <cell r="AD53">
            <v>882</v>
          </cell>
          <cell r="AE53">
            <v>838</v>
          </cell>
          <cell r="AF53">
            <v>841</v>
          </cell>
          <cell r="AG53">
            <v>1113</v>
          </cell>
          <cell r="AH53">
            <v>797</v>
          </cell>
          <cell r="AI53">
            <v>1126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6742</v>
          </cell>
          <cell r="E55">
            <v>625</v>
          </cell>
          <cell r="F55">
            <v>579</v>
          </cell>
          <cell r="G55">
            <v>618</v>
          </cell>
          <cell r="H55">
            <v>576</v>
          </cell>
          <cell r="I55">
            <v>500</v>
          </cell>
          <cell r="J55">
            <v>551</v>
          </cell>
          <cell r="K55">
            <v>533</v>
          </cell>
          <cell r="L55">
            <v>413</v>
          </cell>
          <cell r="M55">
            <v>570</v>
          </cell>
          <cell r="N55">
            <v>676</v>
          </cell>
          <cell r="O55">
            <v>490</v>
          </cell>
          <cell r="P55">
            <v>611</v>
          </cell>
          <cell r="T55">
            <v>52</v>
          </cell>
          <cell r="U55" t="str">
            <v>TS2</v>
          </cell>
          <cell r="X55">
            <v>513</v>
          </cell>
          <cell r="Y55">
            <v>705</v>
          </cell>
          <cell r="Z55">
            <v>596</v>
          </cell>
          <cell r="AA55">
            <v>609</v>
          </cell>
          <cell r="AB55">
            <v>605</v>
          </cell>
          <cell r="AC55">
            <v>465</v>
          </cell>
          <cell r="AD55">
            <v>694</v>
          </cell>
          <cell r="AE55">
            <v>552</v>
          </cell>
          <cell r="AF55">
            <v>524</v>
          </cell>
          <cell r="AG55">
            <v>595</v>
          </cell>
          <cell r="AH55">
            <v>542</v>
          </cell>
          <cell r="AI55">
            <v>599</v>
          </cell>
        </row>
        <row r="56">
          <cell r="A56">
            <v>53</v>
          </cell>
          <cell r="B56" t="str">
            <v>TS3</v>
          </cell>
          <cell r="D56">
            <v>234</v>
          </cell>
          <cell r="E56">
            <v>11</v>
          </cell>
          <cell r="F56">
            <v>7</v>
          </cell>
          <cell r="G56">
            <v>8</v>
          </cell>
          <cell r="H56">
            <v>7</v>
          </cell>
          <cell r="I56">
            <v>8</v>
          </cell>
          <cell r="J56">
            <v>15</v>
          </cell>
          <cell r="K56">
            <v>12</v>
          </cell>
          <cell r="L56">
            <v>7</v>
          </cell>
          <cell r="M56">
            <v>122</v>
          </cell>
          <cell r="N56">
            <v>8</v>
          </cell>
          <cell r="O56">
            <v>18</v>
          </cell>
          <cell r="P56">
            <v>11</v>
          </cell>
          <cell r="T56">
            <v>53</v>
          </cell>
          <cell r="U56" t="str">
            <v>TS3</v>
          </cell>
          <cell r="X56">
            <v>9</v>
          </cell>
          <cell r="Y56">
            <v>11</v>
          </cell>
          <cell r="Z56">
            <v>10</v>
          </cell>
          <cell r="AA56">
            <v>10</v>
          </cell>
          <cell r="AB56">
            <v>5</v>
          </cell>
          <cell r="AC56">
            <v>4</v>
          </cell>
          <cell r="AD56">
            <v>11</v>
          </cell>
          <cell r="AE56">
            <v>9</v>
          </cell>
          <cell r="AF56">
            <v>8</v>
          </cell>
          <cell r="AG56">
            <v>12</v>
          </cell>
          <cell r="AH56">
            <v>11</v>
          </cell>
          <cell r="AI56">
            <v>8</v>
          </cell>
        </row>
        <row r="57">
          <cell r="A57">
            <v>54</v>
          </cell>
          <cell r="B57" t="str">
            <v>TS4</v>
          </cell>
          <cell r="D57">
            <v>462159</v>
          </cell>
          <cell r="E57">
            <v>174861</v>
          </cell>
          <cell r="F57">
            <v>30073</v>
          </cell>
          <cell r="G57">
            <v>11186</v>
          </cell>
          <cell r="H57">
            <v>123927</v>
          </cell>
          <cell r="I57">
            <v>56441</v>
          </cell>
          <cell r="J57">
            <v>20520</v>
          </cell>
          <cell r="K57">
            <v>9654</v>
          </cell>
          <cell r="L57">
            <v>9306</v>
          </cell>
          <cell r="M57">
            <v>7456</v>
          </cell>
          <cell r="N57">
            <v>3405</v>
          </cell>
          <cell r="O57">
            <v>15109</v>
          </cell>
          <cell r="P57">
            <v>221</v>
          </cell>
          <cell r="T57">
            <v>54</v>
          </cell>
          <cell r="U57" t="str">
            <v>TS4</v>
          </cell>
          <cell r="X57">
            <v>204882</v>
          </cell>
          <cell r="Y57">
            <v>102443</v>
          </cell>
          <cell r="Z57">
            <v>128033</v>
          </cell>
          <cell r="AA57">
            <v>67731</v>
          </cell>
          <cell r="AB57">
            <v>46192</v>
          </cell>
          <cell r="AC57">
            <v>19080</v>
          </cell>
          <cell r="AD57">
            <v>11082</v>
          </cell>
          <cell r="AE57">
            <v>10749</v>
          </cell>
          <cell r="AF57">
            <v>21967</v>
          </cell>
          <cell r="AG57">
            <v>16217</v>
          </cell>
          <cell r="AH57">
            <v>13754</v>
          </cell>
          <cell r="AI57">
            <v>109727</v>
          </cell>
        </row>
        <row r="58">
          <cell r="A58">
            <v>55</v>
          </cell>
          <cell r="D58">
            <v>480749</v>
          </cell>
          <cell r="E58">
            <v>176729</v>
          </cell>
          <cell r="F58">
            <v>31682</v>
          </cell>
          <cell r="G58">
            <v>12809</v>
          </cell>
          <cell r="H58">
            <v>125550</v>
          </cell>
          <cell r="I58">
            <v>57854</v>
          </cell>
          <cell r="J58">
            <v>21915</v>
          </cell>
          <cell r="K58">
            <v>11094</v>
          </cell>
          <cell r="L58">
            <v>10519</v>
          </cell>
          <cell r="M58">
            <v>9092</v>
          </cell>
          <cell r="N58">
            <v>4971</v>
          </cell>
          <cell r="O58">
            <v>16541</v>
          </cell>
          <cell r="P58">
            <v>1993</v>
          </cell>
          <cell r="T58">
            <v>55</v>
          </cell>
          <cell r="U58"/>
          <cell r="V58"/>
          <cell r="W58"/>
          <cell r="X58">
            <v>206468</v>
          </cell>
          <cell r="Y58">
            <v>104329</v>
          </cell>
          <cell r="Z58">
            <v>129677</v>
          </cell>
          <cell r="AA58">
            <v>69436</v>
          </cell>
          <cell r="AB58">
            <v>47923</v>
          </cell>
          <cell r="AC58">
            <v>20314</v>
          </cell>
          <cell r="AD58">
            <v>12669</v>
          </cell>
          <cell r="AE58">
            <v>12148</v>
          </cell>
          <cell r="AF58">
            <v>23340</v>
          </cell>
          <cell r="AG58">
            <v>17937</v>
          </cell>
          <cell r="AH58">
            <v>15104</v>
          </cell>
          <cell r="AI58">
            <v>111460</v>
          </cell>
        </row>
        <row r="59">
          <cell r="A59">
            <v>56</v>
          </cell>
          <cell r="E59"/>
          <cell r="H59"/>
          <cell r="I59"/>
          <cell r="J59"/>
          <cell r="K59"/>
          <cell r="T59">
            <v>56</v>
          </cell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718</v>
          </cell>
          <cell r="F62">
            <v>705</v>
          </cell>
          <cell r="G62">
            <v>704</v>
          </cell>
          <cell r="H62">
            <v>690</v>
          </cell>
          <cell r="I62">
            <v>653</v>
          </cell>
          <cell r="J62">
            <v>639</v>
          </cell>
          <cell r="K62">
            <v>626</v>
          </cell>
          <cell r="L62">
            <v>615</v>
          </cell>
          <cell r="M62">
            <v>607</v>
          </cell>
          <cell r="N62">
            <v>609</v>
          </cell>
          <cell r="O62">
            <v>618</v>
          </cell>
          <cell r="P62">
            <v>647</v>
          </cell>
          <cell r="T62">
            <v>59</v>
          </cell>
          <cell r="U62" t="str">
            <v>Residential</v>
          </cell>
          <cell r="V62"/>
          <cell r="W62"/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710</v>
          </cell>
        </row>
        <row r="63">
          <cell r="A63">
            <v>60</v>
          </cell>
          <cell r="B63" t="str">
            <v>Commercial</v>
          </cell>
          <cell r="E63">
            <v>29</v>
          </cell>
          <cell r="F63">
            <v>30</v>
          </cell>
          <cell r="G63">
            <v>30</v>
          </cell>
          <cell r="H63">
            <v>30</v>
          </cell>
          <cell r="I63">
            <v>30</v>
          </cell>
          <cell r="J63">
            <v>30</v>
          </cell>
          <cell r="K63">
            <v>30</v>
          </cell>
          <cell r="L63">
            <v>27</v>
          </cell>
          <cell r="M63">
            <v>27</v>
          </cell>
          <cell r="N63">
            <v>27</v>
          </cell>
          <cell r="O63">
            <v>27</v>
          </cell>
          <cell r="P63">
            <v>25</v>
          </cell>
          <cell r="T63">
            <v>60</v>
          </cell>
          <cell r="U63" t="str">
            <v>Commercial</v>
          </cell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>
            <v>29</v>
          </cell>
        </row>
        <row r="64">
          <cell r="A64">
            <v>61</v>
          </cell>
          <cell r="B64" t="str">
            <v>Special Contract</v>
          </cell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T64">
            <v>61</v>
          </cell>
          <cell r="U64" t="str">
            <v>Special Contract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62</v>
          </cell>
          <cell r="B65" t="str">
            <v>Other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>
            <v>681.08333333333337</v>
          </cell>
          <cell r="E66">
            <v>747</v>
          </cell>
          <cell r="F66">
            <v>735</v>
          </cell>
          <cell r="G66">
            <v>734</v>
          </cell>
          <cell r="H66">
            <v>720</v>
          </cell>
          <cell r="I66">
            <v>683</v>
          </cell>
          <cell r="J66">
            <v>669</v>
          </cell>
          <cell r="K66">
            <v>656</v>
          </cell>
          <cell r="L66">
            <v>642</v>
          </cell>
          <cell r="M66">
            <v>634</v>
          </cell>
          <cell r="N66">
            <v>636</v>
          </cell>
          <cell r="O66">
            <v>645</v>
          </cell>
          <cell r="P66">
            <v>672</v>
          </cell>
          <cell r="T66">
            <v>63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/>
          <cell r="E69">
            <v>1302</v>
          </cell>
          <cell r="F69">
            <v>1239</v>
          </cell>
          <cell r="G69">
            <v>775</v>
          </cell>
          <cell r="H69">
            <v>760</v>
          </cell>
          <cell r="I69">
            <v>608</v>
          </cell>
          <cell r="J69">
            <v>513</v>
          </cell>
          <cell r="K69">
            <v>499</v>
          </cell>
          <cell r="L69">
            <v>422</v>
          </cell>
          <cell r="M69">
            <v>413</v>
          </cell>
          <cell r="N69">
            <v>467</v>
          </cell>
          <cell r="O69">
            <v>567</v>
          </cell>
          <cell r="P69">
            <v>987</v>
          </cell>
          <cell r="T69">
            <v>66</v>
          </cell>
          <cell r="U69" t="str">
            <v>Residential</v>
          </cell>
          <cell r="V69"/>
          <cell r="W69"/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8746</v>
          </cell>
        </row>
        <row r="70">
          <cell r="A70">
            <v>67</v>
          </cell>
          <cell r="B70" t="str">
            <v>Commercial</v>
          </cell>
          <cell r="D70"/>
          <cell r="E70">
            <v>1082</v>
          </cell>
          <cell r="F70">
            <v>1113</v>
          </cell>
          <cell r="G70">
            <v>960</v>
          </cell>
          <cell r="H70">
            <v>943</v>
          </cell>
          <cell r="I70">
            <v>479</v>
          </cell>
          <cell r="J70">
            <v>379</v>
          </cell>
          <cell r="K70">
            <v>284</v>
          </cell>
          <cell r="L70">
            <v>155</v>
          </cell>
          <cell r="M70">
            <v>166</v>
          </cell>
          <cell r="N70">
            <v>464</v>
          </cell>
          <cell r="O70">
            <v>813</v>
          </cell>
          <cell r="P70">
            <v>761</v>
          </cell>
          <cell r="T70">
            <v>67</v>
          </cell>
          <cell r="U70" t="str">
            <v>Commercial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11421</v>
          </cell>
        </row>
        <row r="71">
          <cell r="A71">
            <v>68</v>
          </cell>
          <cell r="B71" t="str">
            <v>Special Contract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/>
          <cell r="M71"/>
          <cell r="N71"/>
          <cell r="O71"/>
          <cell r="P71"/>
          <cell r="T71">
            <v>68</v>
          </cell>
          <cell r="U71" t="str">
            <v>Special Contract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69</v>
          </cell>
          <cell r="D72">
            <v>0</v>
          </cell>
          <cell r="E72">
            <v>2384</v>
          </cell>
          <cell r="F72">
            <v>2352</v>
          </cell>
          <cell r="G72">
            <v>1735</v>
          </cell>
          <cell r="H72">
            <v>1703</v>
          </cell>
          <cell r="I72">
            <v>1087</v>
          </cell>
          <cell r="J72">
            <v>892</v>
          </cell>
          <cell r="K72">
            <v>783</v>
          </cell>
          <cell r="L72">
            <v>577</v>
          </cell>
          <cell r="M72">
            <v>579</v>
          </cell>
          <cell r="N72">
            <v>931</v>
          </cell>
          <cell r="O72">
            <v>1380</v>
          </cell>
          <cell r="P72">
            <v>1748</v>
          </cell>
          <cell r="T72">
            <v>69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A73">
            <v>70</v>
          </cell>
          <cell r="T73">
            <v>70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</row>
        <row r="76">
          <cell r="A76">
            <v>73</v>
          </cell>
          <cell r="B76" t="str">
            <v xml:space="preserve">Customers </v>
          </cell>
          <cell r="C76"/>
          <cell r="D76">
            <v>670989.90052162181</v>
          </cell>
          <cell r="E76">
            <v>55637</v>
          </cell>
          <cell r="F76">
            <v>55778</v>
          </cell>
          <cell r="G76">
            <v>56061</v>
          </cell>
          <cell r="H76">
            <v>56399</v>
          </cell>
          <cell r="I76">
            <v>55963</v>
          </cell>
          <cell r="J76">
            <v>56314</v>
          </cell>
          <cell r="K76">
            <v>56035</v>
          </cell>
          <cell r="L76">
            <v>55937.900521621857</v>
          </cell>
          <cell r="M76">
            <v>55457</v>
          </cell>
          <cell r="N76">
            <v>55573</v>
          </cell>
          <cell r="O76">
            <v>55905</v>
          </cell>
          <cell r="P76">
            <v>55930</v>
          </cell>
          <cell r="T76">
            <v>73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</row>
        <row r="77">
          <cell r="A77">
            <v>74</v>
          </cell>
          <cell r="B77" t="str">
            <v>Volume (mcfs)</v>
          </cell>
          <cell r="C77"/>
          <cell r="D77">
            <v>8417969.8026011474</v>
          </cell>
          <cell r="E77">
            <v>892586</v>
          </cell>
          <cell r="F77">
            <v>788485</v>
          </cell>
          <cell r="G77">
            <v>842562</v>
          </cell>
          <cell r="H77">
            <v>727626</v>
          </cell>
          <cell r="I77">
            <v>657097</v>
          </cell>
          <cell r="J77">
            <v>565749</v>
          </cell>
          <cell r="K77">
            <v>538893</v>
          </cell>
          <cell r="L77">
            <v>549219.80260114698</v>
          </cell>
          <cell r="M77">
            <v>601942</v>
          </cell>
          <cell r="N77">
            <v>618890</v>
          </cell>
          <cell r="O77">
            <v>760642</v>
          </cell>
          <cell r="P77">
            <v>874278</v>
          </cell>
          <cell r="T77">
            <v>74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</row>
        <row r="78">
          <cell r="A78">
            <v>75</v>
          </cell>
          <cell r="B78" t="str">
            <v>Volume (dts) (mcfs*1.0269)</v>
          </cell>
          <cell r="C78"/>
          <cell r="D78">
            <v>8644413</v>
          </cell>
          <cell r="E78">
            <v>916597</v>
          </cell>
          <cell r="F78">
            <v>809695</v>
          </cell>
          <cell r="G78">
            <v>865227</v>
          </cell>
          <cell r="H78">
            <v>747199</v>
          </cell>
          <cell r="I78">
            <v>674773</v>
          </cell>
          <cell r="J78">
            <v>580968</v>
          </cell>
          <cell r="K78">
            <v>553389</v>
          </cell>
          <cell r="L78">
            <v>563994</v>
          </cell>
          <cell r="M78">
            <v>618134</v>
          </cell>
          <cell r="N78">
            <v>635538</v>
          </cell>
          <cell r="O78">
            <v>781103</v>
          </cell>
          <cell r="P78">
            <v>897796</v>
          </cell>
          <cell r="T78">
            <v>75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</row>
        <row r="80">
          <cell r="A80">
            <v>77</v>
          </cell>
          <cell r="B80" t="str">
            <v>Volume - 2014 -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1281619</v>
          </cell>
          <cell r="E81">
            <v>176519</v>
          </cell>
          <cell r="F81">
            <v>171459</v>
          </cell>
          <cell r="G81">
            <v>136179</v>
          </cell>
          <cell r="H81">
            <v>119242</v>
          </cell>
          <cell r="I81">
            <v>87467</v>
          </cell>
          <cell r="J81">
            <v>73901</v>
          </cell>
          <cell r="K81">
            <v>68723</v>
          </cell>
          <cell r="L81">
            <v>59458</v>
          </cell>
          <cell r="M81">
            <v>64482</v>
          </cell>
          <cell r="N81">
            <v>69663</v>
          </cell>
          <cell r="O81">
            <v>98190</v>
          </cell>
          <cell r="P81">
            <v>156336</v>
          </cell>
          <cell r="T81">
            <v>78</v>
          </cell>
          <cell r="U81" t="str">
            <v>Volumes (in DTs)</v>
          </cell>
          <cell r="W81">
            <v>1217858</v>
          </cell>
          <cell r="X81">
            <v>154538</v>
          </cell>
          <cell r="Y81">
            <v>145443</v>
          </cell>
          <cell r="Z81">
            <v>147235</v>
          </cell>
          <cell r="AA81">
            <v>127966</v>
          </cell>
          <cell r="AB81">
            <v>92132</v>
          </cell>
          <cell r="AC81">
            <v>75708</v>
          </cell>
          <cell r="AD81">
            <v>63425</v>
          </cell>
          <cell r="AE81">
            <v>62484</v>
          </cell>
          <cell r="AF81">
            <v>63290</v>
          </cell>
          <cell r="AG81">
            <v>69654</v>
          </cell>
          <cell r="AH81">
            <v>86331</v>
          </cell>
          <cell r="AI81">
            <v>129652</v>
          </cell>
        </row>
        <row r="82">
          <cell r="A82">
            <v>79</v>
          </cell>
          <cell r="B82" t="str">
            <v>Commercial</v>
          </cell>
          <cell r="D82">
            <v>2596547</v>
          </cell>
          <cell r="E82">
            <v>281864</v>
          </cell>
          <cell r="F82">
            <v>267346</v>
          </cell>
          <cell r="G82">
            <v>250944</v>
          </cell>
          <cell r="H82">
            <v>233986</v>
          </cell>
          <cell r="I82">
            <v>203274</v>
          </cell>
          <cell r="J82">
            <v>183899</v>
          </cell>
          <cell r="K82">
            <v>189263</v>
          </cell>
          <cell r="L82">
            <v>162919</v>
          </cell>
          <cell r="M82">
            <v>166178</v>
          </cell>
          <cell r="N82">
            <v>184282</v>
          </cell>
          <cell r="O82">
            <v>213858</v>
          </cell>
          <cell r="P82">
            <v>258734</v>
          </cell>
          <cell r="T82">
            <v>79</v>
          </cell>
          <cell r="U82" t="str">
            <v>Residential</v>
          </cell>
          <cell r="W82">
            <v>2735855</v>
          </cell>
          <cell r="X82">
            <v>277493</v>
          </cell>
          <cell r="Y82">
            <v>272785</v>
          </cell>
          <cell r="Z82">
            <v>273907</v>
          </cell>
          <cell r="AA82">
            <v>274048</v>
          </cell>
          <cell r="AB82">
            <v>234715</v>
          </cell>
          <cell r="AC82">
            <v>203804</v>
          </cell>
          <cell r="AD82">
            <v>172702</v>
          </cell>
          <cell r="AE82">
            <v>180683</v>
          </cell>
          <cell r="AF82">
            <v>180867</v>
          </cell>
          <cell r="AG82">
            <v>195190</v>
          </cell>
          <cell r="AH82">
            <v>211260</v>
          </cell>
          <cell r="AI82">
            <v>258401</v>
          </cell>
        </row>
        <row r="83">
          <cell r="A83">
            <v>80</v>
          </cell>
          <cell r="B83" t="str">
            <v xml:space="preserve">Industrial </v>
          </cell>
          <cell r="D83">
            <v>3850797</v>
          </cell>
          <cell r="E83">
            <v>497197</v>
          </cell>
          <cell r="F83">
            <v>327167</v>
          </cell>
          <cell r="G83">
            <v>313512</v>
          </cell>
          <cell r="H83">
            <v>412758</v>
          </cell>
          <cell r="I83">
            <v>327526</v>
          </cell>
          <cell r="J83">
            <v>276639</v>
          </cell>
          <cell r="K83">
            <v>267397</v>
          </cell>
          <cell r="L83">
            <v>262547</v>
          </cell>
          <cell r="M83">
            <v>254880</v>
          </cell>
          <cell r="N83">
            <v>272324</v>
          </cell>
          <cell r="O83">
            <v>315275</v>
          </cell>
          <cell r="P83">
            <v>323575</v>
          </cell>
          <cell r="T83">
            <v>80</v>
          </cell>
          <cell r="U83"/>
          <cell r="W83">
            <v>3715713</v>
          </cell>
          <cell r="X83">
            <v>463548</v>
          </cell>
          <cell r="Y83">
            <v>352147</v>
          </cell>
          <cell r="Z83">
            <v>395894</v>
          </cell>
          <cell r="AA83">
            <v>309251</v>
          </cell>
          <cell r="AB83">
            <v>293198</v>
          </cell>
          <cell r="AC83">
            <v>246934</v>
          </cell>
          <cell r="AD83">
            <v>239128</v>
          </cell>
          <cell r="AE83">
            <v>238941</v>
          </cell>
          <cell r="AF83">
            <v>247895</v>
          </cell>
          <cell r="AG83">
            <v>259826</v>
          </cell>
          <cell r="AH83">
            <v>275203</v>
          </cell>
          <cell r="AI83">
            <v>393748</v>
          </cell>
        </row>
        <row r="84">
          <cell r="A84">
            <v>81</v>
          </cell>
          <cell r="B84" t="str">
            <v>Other</v>
          </cell>
          <cell r="D84">
            <v>34450</v>
          </cell>
          <cell r="E84">
            <v>-18507</v>
          </cell>
          <cell r="F84">
            <v>-20235</v>
          </cell>
          <cell r="G84">
            <v>8739</v>
          </cell>
          <cell r="H84">
            <v>-31938</v>
          </cell>
          <cell r="I84">
            <v>-4014</v>
          </cell>
          <cell r="J84">
            <v>-16798</v>
          </cell>
          <cell r="K84">
            <v>-26643</v>
          </cell>
          <cell r="L84">
            <v>27606</v>
          </cell>
          <cell r="M84">
            <v>-16163</v>
          </cell>
          <cell r="N84">
            <v>13724</v>
          </cell>
          <cell r="O84">
            <v>71816</v>
          </cell>
          <cell r="P84">
            <v>46863</v>
          </cell>
          <cell r="T84">
            <v>81</v>
          </cell>
          <cell r="U84"/>
          <cell r="W84">
            <v>-81724</v>
          </cell>
          <cell r="X84">
            <v>-14891</v>
          </cell>
          <cell r="Y84">
            <v>-21715</v>
          </cell>
          <cell r="Z84">
            <v>2290</v>
          </cell>
          <cell r="AA84">
            <v>-33817</v>
          </cell>
          <cell r="AB84">
            <v>-41723</v>
          </cell>
          <cell r="AC84">
            <v>-43039</v>
          </cell>
          <cell r="AD84">
            <v>13082</v>
          </cell>
          <cell r="AE84">
            <v>-7063</v>
          </cell>
          <cell r="AF84">
            <v>-31566</v>
          </cell>
          <cell r="AG84">
            <v>28813</v>
          </cell>
          <cell r="AH84">
            <v>29464</v>
          </cell>
          <cell r="AI84">
            <v>38441</v>
          </cell>
        </row>
        <row r="85">
          <cell r="A85">
            <v>82</v>
          </cell>
          <cell r="B85" t="str">
            <v>Total Deliveries</v>
          </cell>
          <cell r="C85"/>
          <cell r="D85">
            <v>7763413</v>
          </cell>
          <cell r="E85">
            <v>937073</v>
          </cell>
          <cell r="F85">
            <v>745737</v>
          </cell>
          <cell r="G85">
            <v>709374</v>
          </cell>
          <cell r="H85">
            <v>734048</v>
          </cell>
          <cell r="I85">
            <v>614253</v>
          </cell>
          <cell r="J85">
            <v>517641</v>
          </cell>
          <cell r="K85">
            <v>498740</v>
          </cell>
          <cell r="L85">
            <v>512530</v>
          </cell>
          <cell r="M85">
            <v>469377</v>
          </cell>
          <cell r="N85">
            <v>539993</v>
          </cell>
          <cell r="O85">
            <v>699139</v>
          </cell>
          <cell r="P85">
            <v>785508</v>
          </cell>
          <cell r="T85">
            <v>82</v>
          </cell>
          <cell r="U85">
            <v>0</v>
          </cell>
          <cell r="V85"/>
          <cell r="W85">
            <v>7587702</v>
          </cell>
          <cell r="X85">
            <v>880688</v>
          </cell>
          <cell r="Y85">
            <v>748660</v>
          </cell>
          <cell r="Z85">
            <v>819326</v>
          </cell>
          <cell r="AA85">
            <v>677448</v>
          </cell>
          <cell r="AB85">
            <v>578322</v>
          </cell>
          <cell r="AC85">
            <v>483407</v>
          </cell>
          <cell r="AD85">
            <v>488337</v>
          </cell>
          <cell r="AE85">
            <v>475045</v>
          </cell>
          <cell r="AF85">
            <v>460486</v>
          </cell>
          <cell r="AG85">
            <v>553483</v>
          </cell>
          <cell r="AH85">
            <v>602258</v>
          </cell>
          <cell r="AI85">
            <v>820242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AB86"/>
          <cell r="AC86"/>
          <cell r="AD86"/>
          <cell r="AE86"/>
          <cell r="AF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AB87"/>
          <cell r="AC87"/>
          <cell r="AD87"/>
          <cell r="AE87"/>
          <cell r="AF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- 2014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- 2013</v>
          </cell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50512</v>
          </cell>
          <cell r="F91">
            <v>50594</v>
          </cell>
          <cell r="G91">
            <v>50713</v>
          </cell>
          <cell r="H91">
            <v>50784</v>
          </cell>
          <cell r="I91">
            <v>50821</v>
          </cell>
          <cell r="J91">
            <v>50826</v>
          </cell>
          <cell r="K91">
            <v>50827</v>
          </cell>
          <cell r="L91">
            <v>50796</v>
          </cell>
          <cell r="M91">
            <v>50781</v>
          </cell>
          <cell r="N91">
            <v>50778</v>
          </cell>
          <cell r="O91">
            <v>50794</v>
          </cell>
          <cell r="P91">
            <v>50835</v>
          </cell>
          <cell r="T91">
            <v>88</v>
          </cell>
          <cell r="U91" t="str">
            <v>Residential</v>
          </cell>
          <cell r="V91"/>
          <cell r="W91"/>
          <cell r="X91">
            <v>49013</v>
          </cell>
          <cell r="Y91">
            <v>49077</v>
          </cell>
          <cell r="Z91">
            <v>49179</v>
          </cell>
          <cell r="AA91">
            <v>49303</v>
          </cell>
          <cell r="AB91">
            <v>49309</v>
          </cell>
          <cell r="AC91">
            <v>49368</v>
          </cell>
          <cell r="AD91">
            <v>49378</v>
          </cell>
          <cell r="AE91">
            <v>49376</v>
          </cell>
          <cell r="AF91">
            <v>49366</v>
          </cell>
          <cell r="AG91">
            <v>49354</v>
          </cell>
          <cell r="AH91">
            <v>49357</v>
          </cell>
          <cell r="AI91">
            <v>50086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4401</v>
          </cell>
          <cell r="F92">
            <v>4407</v>
          </cell>
          <cell r="G92">
            <v>4415</v>
          </cell>
          <cell r="H92">
            <v>4416</v>
          </cell>
          <cell r="I92">
            <v>4411</v>
          </cell>
          <cell r="J92">
            <v>4403</v>
          </cell>
          <cell r="K92">
            <v>4398</v>
          </cell>
          <cell r="L92">
            <v>4391</v>
          </cell>
          <cell r="M92">
            <v>4383</v>
          </cell>
          <cell r="N92">
            <v>4378</v>
          </cell>
          <cell r="O92">
            <v>4372</v>
          </cell>
          <cell r="P92">
            <v>4368</v>
          </cell>
          <cell r="T92">
            <v>89</v>
          </cell>
          <cell r="U92" t="str">
            <v>Commercial</v>
          </cell>
          <cell r="V92"/>
          <cell r="W92"/>
          <cell r="X92">
            <v>4549</v>
          </cell>
          <cell r="Y92">
            <v>4547</v>
          </cell>
          <cell r="Z92">
            <v>4560</v>
          </cell>
          <cell r="AA92">
            <v>4569</v>
          </cell>
          <cell r="AB92">
            <v>4558</v>
          </cell>
          <cell r="AC92">
            <v>4551</v>
          </cell>
          <cell r="AD92">
            <v>4539</v>
          </cell>
          <cell r="AE92">
            <v>4526</v>
          </cell>
          <cell r="AF92">
            <v>4514</v>
          </cell>
          <cell r="AG92">
            <v>4502</v>
          </cell>
          <cell r="AH92">
            <v>4489</v>
          </cell>
          <cell r="AI92">
            <v>4509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1205</v>
          </cell>
          <cell r="F93">
            <v>1214</v>
          </cell>
          <cell r="G93">
            <v>1221</v>
          </cell>
          <cell r="H93">
            <v>1228</v>
          </cell>
          <cell r="I93">
            <v>1238</v>
          </cell>
          <cell r="J93">
            <v>1247</v>
          </cell>
          <cell r="K93">
            <v>1256</v>
          </cell>
          <cell r="L93">
            <v>1267</v>
          </cell>
          <cell r="M93">
            <v>1280</v>
          </cell>
          <cell r="N93">
            <v>1294</v>
          </cell>
          <cell r="O93">
            <v>1307</v>
          </cell>
          <cell r="P93">
            <v>1321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905</v>
          </cell>
          <cell r="Y93">
            <v>909</v>
          </cell>
          <cell r="Z93">
            <v>913</v>
          </cell>
          <cell r="AA93">
            <v>927</v>
          </cell>
          <cell r="AB93">
            <v>941</v>
          </cell>
          <cell r="AC93">
            <v>956</v>
          </cell>
          <cell r="AD93">
            <v>970</v>
          </cell>
          <cell r="AE93">
            <v>983</v>
          </cell>
          <cell r="AF93">
            <v>996</v>
          </cell>
          <cell r="AG93">
            <v>1012</v>
          </cell>
          <cell r="AH93">
            <v>1026</v>
          </cell>
          <cell r="AI93">
            <v>1040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V94"/>
          <cell r="W94"/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56118</v>
          </cell>
          <cell r="F95">
            <v>56215</v>
          </cell>
          <cell r="G95">
            <v>56349</v>
          </cell>
          <cell r="H95">
            <v>56428</v>
          </cell>
          <cell r="I95">
            <v>56470</v>
          </cell>
          <cell r="J95">
            <v>56476</v>
          </cell>
          <cell r="K95">
            <v>56481</v>
          </cell>
          <cell r="L95">
            <v>56454</v>
          </cell>
          <cell r="M95">
            <v>56444</v>
          </cell>
          <cell r="N95">
            <v>56450</v>
          </cell>
          <cell r="O95">
            <v>56473</v>
          </cell>
          <cell r="P95">
            <v>56524</v>
          </cell>
          <cell r="T95">
            <v>92</v>
          </cell>
          <cell r="U95" t="str">
            <v>Total customers</v>
          </cell>
          <cell r="V95"/>
          <cell r="W95"/>
          <cell r="X95">
            <v>54467</v>
          </cell>
          <cell r="Y95">
            <v>54533</v>
          </cell>
          <cell r="Z95">
            <v>54652</v>
          </cell>
          <cell r="AA95">
            <v>54799</v>
          </cell>
          <cell r="AB95">
            <v>54808</v>
          </cell>
          <cell r="AC95">
            <v>54875</v>
          </cell>
          <cell r="AD95">
            <v>54887</v>
          </cell>
          <cell r="AE95">
            <v>54885</v>
          </cell>
          <cell r="AF95">
            <v>54876</v>
          </cell>
          <cell r="AG95">
            <v>54868</v>
          </cell>
          <cell r="AH95">
            <v>54872</v>
          </cell>
          <cell r="AI95">
            <v>55635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- 2014 -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- 2013 -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171895</v>
          </cell>
          <cell r="F99">
            <v>338863</v>
          </cell>
          <cell r="G99">
            <v>471475</v>
          </cell>
          <cell r="H99">
            <v>587593</v>
          </cell>
          <cell r="I99">
            <v>672769</v>
          </cell>
          <cell r="J99">
            <v>744734</v>
          </cell>
          <cell r="K99">
            <v>811657</v>
          </cell>
          <cell r="L99">
            <v>869557.26633557305</v>
          </cell>
          <cell r="M99">
            <v>932350.26633557305</v>
          </cell>
          <cell r="N99">
            <v>1000188.266335573</v>
          </cell>
          <cell r="O99">
            <v>1095806.266335573</v>
          </cell>
          <cell r="P99">
            <v>1248047.266335573</v>
          </cell>
          <cell r="T99">
            <v>96</v>
          </cell>
          <cell r="U99" t="str">
            <v>Residential</v>
          </cell>
          <cell r="W99"/>
          <cell r="X99">
            <v>150490</v>
          </cell>
          <cell r="Y99">
            <v>292123</v>
          </cell>
          <cell r="Z99">
            <v>435501</v>
          </cell>
          <cell r="AA99">
            <v>560115</v>
          </cell>
          <cell r="AB99">
            <v>649834</v>
          </cell>
          <cell r="AC99">
            <v>723559</v>
          </cell>
          <cell r="AD99">
            <v>785323</v>
          </cell>
          <cell r="AE99">
            <v>846170</v>
          </cell>
          <cell r="AF99">
            <v>907802</v>
          </cell>
          <cell r="AG99">
            <v>975631</v>
          </cell>
          <cell r="AH99">
            <v>1059701</v>
          </cell>
          <cell r="AI99">
            <v>1185957</v>
          </cell>
        </row>
        <row r="100">
          <cell r="A100">
            <v>97</v>
          </cell>
          <cell r="B100" t="str">
            <v>Commercial</v>
          </cell>
          <cell r="D100"/>
          <cell r="E100">
            <v>274480</v>
          </cell>
          <cell r="F100">
            <v>534823</v>
          </cell>
          <cell r="G100">
            <v>779193</v>
          </cell>
          <cell r="H100">
            <v>1007050</v>
          </cell>
          <cell r="I100">
            <v>1204999</v>
          </cell>
          <cell r="J100">
            <v>1384081</v>
          </cell>
          <cell r="K100">
            <v>1568386</v>
          </cell>
          <cell r="L100">
            <v>1727037.3482325445</v>
          </cell>
          <cell r="M100">
            <v>1888862.3482325445</v>
          </cell>
          <cell r="N100">
            <v>2068317.3482325445</v>
          </cell>
          <cell r="O100">
            <v>2276573.3482325445</v>
          </cell>
          <cell r="P100">
            <v>2528529.3482325445</v>
          </cell>
          <cell r="T100">
            <v>97</v>
          </cell>
          <cell r="U100" t="str">
            <v>Commercial</v>
          </cell>
          <cell r="W100"/>
          <cell r="X100">
            <v>270224</v>
          </cell>
          <cell r="Y100">
            <v>535863</v>
          </cell>
          <cell r="Z100">
            <v>802595</v>
          </cell>
          <cell r="AA100">
            <v>1069464</v>
          </cell>
          <cell r="AB100">
            <v>1298031</v>
          </cell>
          <cell r="AC100">
            <v>1496496</v>
          </cell>
          <cell r="AD100">
            <v>1664674</v>
          </cell>
          <cell r="AE100">
            <v>1840624</v>
          </cell>
          <cell r="AF100">
            <v>2016753</v>
          </cell>
          <cell r="AG100">
            <v>2206830</v>
          </cell>
          <cell r="AH100">
            <v>2412556</v>
          </cell>
          <cell r="AI100">
            <v>2664188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484173</v>
          </cell>
          <cell r="F101">
            <v>802770</v>
          </cell>
          <cell r="G101">
            <v>1108069</v>
          </cell>
          <cell r="H101">
            <v>1510015</v>
          </cell>
          <cell r="I101">
            <v>1828961</v>
          </cell>
          <cell r="J101">
            <v>2098353</v>
          </cell>
          <cell r="K101">
            <v>2358745</v>
          </cell>
          <cell r="L101">
            <v>2614414.618658097</v>
          </cell>
          <cell r="M101">
            <v>2862617.618658097</v>
          </cell>
          <cell r="N101">
            <v>3127807.618658097</v>
          </cell>
          <cell r="O101">
            <v>3434823.618658097</v>
          </cell>
          <cell r="P101">
            <v>3749922.618658097</v>
          </cell>
          <cell r="T101">
            <v>98</v>
          </cell>
          <cell r="U101" t="str">
            <v xml:space="preserve">Industrial </v>
          </cell>
          <cell r="W101"/>
          <cell r="X101">
            <v>451405</v>
          </cell>
          <cell r="Y101">
            <v>794327</v>
          </cell>
          <cell r="Z101">
            <v>1179850</v>
          </cell>
          <cell r="AA101">
            <v>1481000</v>
          </cell>
          <cell r="AB101">
            <v>1766518</v>
          </cell>
          <cell r="AC101">
            <v>2006983</v>
          </cell>
          <cell r="AD101">
            <v>2239847</v>
          </cell>
          <cell r="AE101">
            <v>2472529</v>
          </cell>
          <cell r="AF101">
            <v>2713930</v>
          </cell>
          <cell r="AG101">
            <v>2966950</v>
          </cell>
          <cell r="AH101">
            <v>3234944</v>
          </cell>
          <cell r="AI101">
            <v>3618378</v>
          </cell>
        </row>
        <row r="102">
          <cell r="A102">
            <v>99</v>
          </cell>
          <cell r="B102" t="str">
            <v>Other</v>
          </cell>
          <cell r="D102"/>
          <cell r="E102">
            <v>-18022.395326192796</v>
          </cell>
          <cell r="F102">
            <v>-37727.361246348592</v>
          </cell>
          <cell r="G102">
            <v>-29217.137293086664</v>
          </cell>
          <cell r="H102">
            <v>-60318.403115871479</v>
          </cell>
          <cell r="I102">
            <v>-64226.87439143136</v>
          </cell>
          <cell r="J102">
            <v>-80585.19961051608</v>
          </cell>
          <cell r="K102">
            <v>-106530.6718597858</v>
          </cell>
          <cell r="L102">
            <v>-79647.818889970804</v>
          </cell>
          <cell r="M102">
            <v>-95387.838364167488</v>
          </cell>
          <cell r="N102">
            <v>-82023.670886075954</v>
          </cell>
          <cell r="O102">
            <v>-12088.909444985387</v>
          </cell>
          <cell r="P102">
            <v>33546.923076923085</v>
          </cell>
          <cell r="T102">
            <v>99</v>
          </cell>
          <cell r="U102" t="str">
            <v>Other</v>
          </cell>
          <cell r="W102"/>
          <cell r="X102">
            <v>-14500.486854917235</v>
          </cell>
          <cell r="Y102">
            <v>-35646.543330087632</v>
          </cell>
          <cell r="Z102">
            <v>-33416.747809152868</v>
          </cell>
          <cell r="AA102">
            <v>-66347.614410905546</v>
          </cell>
          <cell r="AB102">
            <v>-106977.6046738072</v>
          </cell>
          <cell r="AC102">
            <v>-148888.99707887048</v>
          </cell>
          <cell r="AD102">
            <v>-136149.95131450827</v>
          </cell>
          <cell r="AE102">
            <v>-143028.23758519962</v>
          </cell>
          <cell r="AF102">
            <v>-173767.28334956185</v>
          </cell>
          <cell r="AG102">
            <v>-145708.86075949369</v>
          </cell>
          <cell r="AH102">
            <v>-117016.553067186</v>
          </cell>
          <cell r="AI102">
            <v>-79582.278481012676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912525.60467380716</v>
          </cell>
          <cell r="F103">
            <v>1638728.6387536514</v>
          </cell>
          <cell r="G103">
            <v>2329519.8627069131</v>
          </cell>
          <cell r="H103">
            <v>3044339.5968841286</v>
          </cell>
          <cell r="I103">
            <v>3642502.1256085685</v>
          </cell>
          <cell r="J103">
            <v>4146582.800389484</v>
          </cell>
          <cell r="K103">
            <v>4632257.3281402141</v>
          </cell>
          <cell r="L103">
            <v>5131361.4143362436</v>
          </cell>
          <cell r="M103">
            <v>5588442.3948620474</v>
          </cell>
          <cell r="N103">
            <v>6114289.5623401385</v>
          </cell>
          <cell r="O103">
            <v>6795114.3237812296</v>
          </cell>
          <cell r="P103">
            <v>7560046.1563031375</v>
          </cell>
          <cell r="T103">
            <v>100</v>
          </cell>
          <cell r="U103" t="str">
            <v>Total Deliveries</v>
          </cell>
          <cell r="V103"/>
          <cell r="W103"/>
          <cell r="X103">
            <v>857618.51314508275</v>
          </cell>
          <cell r="Y103">
            <v>1586666.4566699124</v>
          </cell>
          <cell r="Z103">
            <v>2384529.2521908469</v>
          </cell>
          <cell r="AA103">
            <v>3044231.3855890944</v>
          </cell>
          <cell r="AB103">
            <v>3607405.395326193</v>
          </cell>
          <cell r="AC103">
            <v>4078149.0029211296</v>
          </cell>
          <cell r="AD103">
            <v>4553694.048685492</v>
          </cell>
          <cell r="AE103">
            <v>5016294.7624148</v>
          </cell>
          <cell r="AF103">
            <v>5464717.7166504385</v>
          </cell>
          <cell r="AG103">
            <v>6003702.1392405061</v>
          </cell>
          <cell r="AH103">
            <v>6590184.4469328141</v>
          </cell>
          <cell r="AI103">
            <v>7388940.7215189878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- 2014 -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- 2013 -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176519</v>
          </cell>
          <cell r="F107">
            <v>347978</v>
          </cell>
          <cell r="G107">
            <v>484157</v>
          </cell>
          <cell r="H107">
            <v>603399</v>
          </cell>
          <cell r="I107">
            <v>690866</v>
          </cell>
          <cell r="J107">
            <v>764767</v>
          </cell>
          <cell r="K107">
            <v>833490</v>
          </cell>
          <cell r="L107">
            <v>892948</v>
          </cell>
          <cell r="M107">
            <v>957430</v>
          </cell>
          <cell r="N107">
            <v>1027093</v>
          </cell>
          <cell r="O107">
            <v>1125283</v>
          </cell>
          <cell r="P107">
            <v>1281619</v>
          </cell>
          <cell r="T107">
            <v>104</v>
          </cell>
          <cell r="U107" t="str">
            <v>Residential</v>
          </cell>
          <cell r="X107">
            <v>154538</v>
          </cell>
          <cell r="Y107">
            <v>299981</v>
          </cell>
          <cell r="Z107">
            <v>447216</v>
          </cell>
          <cell r="AA107">
            <v>575182</v>
          </cell>
          <cell r="AB107">
            <v>667314</v>
          </cell>
          <cell r="AC107">
            <v>743022</v>
          </cell>
          <cell r="AD107">
            <v>806447</v>
          </cell>
          <cell r="AE107">
            <v>868931</v>
          </cell>
          <cell r="AF107">
            <v>932221</v>
          </cell>
          <cell r="AG107">
            <v>1001875</v>
          </cell>
          <cell r="AH107">
            <v>1088206</v>
          </cell>
          <cell r="AI107">
            <v>1217858</v>
          </cell>
        </row>
        <row r="108">
          <cell r="A108">
            <v>105</v>
          </cell>
          <cell r="B108" t="str">
            <v>Commercial</v>
          </cell>
          <cell r="D108"/>
          <cell r="E108">
            <v>281864</v>
          </cell>
          <cell r="F108">
            <v>549210</v>
          </cell>
          <cell r="G108">
            <v>800154</v>
          </cell>
          <cell r="H108">
            <v>1034140</v>
          </cell>
          <cell r="I108">
            <v>1237414</v>
          </cell>
          <cell r="J108">
            <v>1421313</v>
          </cell>
          <cell r="K108">
            <v>1610576</v>
          </cell>
          <cell r="L108">
            <v>1773495</v>
          </cell>
          <cell r="M108">
            <v>1939673</v>
          </cell>
          <cell r="N108">
            <v>2123955</v>
          </cell>
          <cell r="O108">
            <v>2337813</v>
          </cell>
          <cell r="P108">
            <v>2596547</v>
          </cell>
          <cell r="T108">
            <v>105</v>
          </cell>
          <cell r="U108" t="str">
            <v>Commercial</v>
          </cell>
          <cell r="X108">
            <v>277493</v>
          </cell>
          <cell r="Y108">
            <v>550278</v>
          </cell>
          <cell r="Z108">
            <v>824185</v>
          </cell>
          <cell r="AA108">
            <v>1098233</v>
          </cell>
          <cell r="AB108">
            <v>1332948</v>
          </cell>
          <cell r="AC108">
            <v>1536752</v>
          </cell>
          <cell r="AD108">
            <v>1709454</v>
          </cell>
          <cell r="AE108">
            <v>1890137</v>
          </cell>
          <cell r="AF108">
            <v>2071004</v>
          </cell>
          <cell r="AG108">
            <v>2266194</v>
          </cell>
          <cell r="AH108">
            <v>2477454</v>
          </cell>
          <cell r="AI108">
            <v>2735855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497197</v>
          </cell>
          <cell r="F109">
            <v>824364</v>
          </cell>
          <cell r="G109">
            <v>1137876</v>
          </cell>
          <cell r="H109">
            <v>1550634</v>
          </cell>
          <cell r="I109">
            <v>1878160</v>
          </cell>
          <cell r="J109">
            <v>2154799</v>
          </cell>
          <cell r="K109">
            <v>2422196</v>
          </cell>
          <cell r="L109">
            <v>2684743</v>
          </cell>
          <cell r="M109">
            <v>2939623</v>
          </cell>
          <cell r="N109">
            <v>3211947</v>
          </cell>
          <cell r="O109">
            <v>3527222</v>
          </cell>
          <cell r="P109">
            <v>3850797</v>
          </cell>
          <cell r="T109">
            <v>106</v>
          </cell>
          <cell r="U109" t="str">
            <v xml:space="preserve">Industrial </v>
          </cell>
          <cell r="W109"/>
          <cell r="X109">
            <v>463548</v>
          </cell>
          <cell r="Y109">
            <v>815695</v>
          </cell>
          <cell r="Z109">
            <v>1211589</v>
          </cell>
          <cell r="AA109">
            <v>1520840</v>
          </cell>
          <cell r="AB109">
            <v>1814038</v>
          </cell>
          <cell r="AC109">
            <v>2060972</v>
          </cell>
          <cell r="AD109">
            <v>2300100</v>
          </cell>
          <cell r="AE109">
            <v>2539041</v>
          </cell>
          <cell r="AF109">
            <v>2786936</v>
          </cell>
          <cell r="AG109">
            <v>3046762</v>
          </cell>
          <cell r="AH109">
            <v>3321965</v>
          </cell>
          <cell r="AI109">
            <v>3715713</v>
          </cell>
        </row>
        <row r="110">
          <cell r="A110">
            <v>107</v>
          </cell>
          <cell r="B110" t="str">
            <v>Other</v>
          </cell>
          <cell r="D110"/>
          <cell r="E110">
            <v>-18507</v>
          </cell>
          <cell r="F110">
            <v>-38742</v>
          </cell>
          <cell r="G110">
            <v>-30003</v>
          </cell>
          <cell r="H110">
            <v>-61941</v>
          </cell>
          <cell r="I110">
            <v>-65955</v>
          </cell>
          <cell r="J110">
            <v>-82753</v>
          </cell>
          <cell r="K110">
            <v>-109396</v>
          </cell>
          <cell r="L110">
            <v>-81790</v>
          </cell>
          <cell r="M110">
            <v>-97953</v>
          </cell>
          <cell r="N110">
            <v>-84229</v>
          </cell>
          <cell r="O110">
            <v>-12413</v>
          </cell>
          <cell r="P110">
            <v>34450</v>
          </cell>
          <cell r="T110">
            <v>107</v>
          </cell>
          <cell r="U110" t="str">
            <v>Other</v>
          </cell>
          <cell r="W110"/>
          <cell r="X110">
            <v>-14891</v>
          </cell>
          <cell r="Y110">
            <v>-36606</v>
          </cell>
          <cell r="Z110">
            <v>-34316</v>
          </cell>
          <cell r="AA110">
            <v>-68133</v>
          </cell>
          <cell r="AB110">
            <v>-109856</v>
          </cell>
          <cell r="AC110">
            <v>-152895</v>
          </cell>
          <cell r="AD110">
            <v>-139813</v>
          </cell>
          <cell r="AE110">
            <v>-146876</v>
          </cell>
          <cell r="AF110">
            <v>-178442</v>
          </cell>
          <cell r="AG110">
            <v>-149629</v>
          </cell>
          <cell r="AH110">
            <v>-120165</v>
          </cell>
          <cell r="AI110">
            <v>-81724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937073</v>
          </cell>
          <cell r="F111">
            <v>1682810</v>
          </cell>
          <cell r="G111">
            <v>2392184</v>
          </cell>
          <cell r="H111">
            <v>3126232</v>
          </cell>
          <cell r="I111">
            <v>3740485</v>
          </cell>
          <cell r="J111">
            <v>4258126</v>
          </cell>
          <cell r="K111">
            <v>4756866</v>
          </cell>
          <cell r="L111">
            <v>5269396</v>
          </cell>
          <cell r="M111">
            <v>5738773</v>
          </cell>
          <cell r="N111">
            <v>6278766</v>
          </cell>
          <cell r="O111">
            <v>6977905</v>
          </cell>
          <cell r="P111">
            <v>7763413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880688</v>
          </cell>
          <cell r="Y111">
            <v>1629348</v>
          </cell>
          <cell r="Z111">
            <v>2448674</v>
          </cell>
          <cell r="AA111">
            <v>3126122</v>
          </cell>
          <cell r="AB111">
            <v>3704444</v>
          </cell>
          <cell r="AC111">
            <v>4187851</v>
          </cell>
          <cell r="AD111">
            <v>4676188</v>
          </cell>
          <cell r="AE111">
            <v>5151233</v>
          </cell>
          <cell r="AF111">
            <v>5611719</v>
          </cell>
          <cell r="AG111">
            <v>6165202</v>
          </cell>
          <cell r="AH111">
            <v>6767460</v>
          </cell>
          <cell r="AI111">
            <v>7587702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55637</v>
          </cell>
          <cell r="F114">
            <v>55708</v>
          </cell>
          <cell r="G114">
            <v>55825</v>
          </cell>
          <cell r="H114">
            <v>55969</v>
          </cell>
          <cell r="I114">
            <v>55968</v>
          </cell>
          <cell r="J114">
            <v>56025</v>
          </cell>
          <cell r="K114">
            <v>56027</v>
          </cell>
          <cell r="L114">
            <v>56016</v>
          </cell>
          <cell r="M114">
            <v>55954</v>
          </cell>
          <cell r="N114">
            <v>55915</v>
          </cell>
          <cell r="O114">
            <v>55915</v>
          </cell>
          <cell r="P114">
            <v>55916</v>
          </cell>
          <cell r="T114">
            <v>111</v>
          </cell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892586</v>
          </cell>
          <cell r="F115">
            <v>1681071</v>
          </cell>
          <cell r="G115">
            <v>2523633</v>
          </cell>
          <cell r="H115">
            <v>3251259</v>
          </cell>
          <cell r="I115">
            <v>3908356</v>
          </cell>
          <cell r="J115">
            <v>4474105</v>
          </cell>
          <cell r="K115">
            <v>5012998</v>
          </cell>
          <cell r="L115">
            <v>5562217.8026011474</v>
          </cell>
          <cell r="M115">
            <v>6164159.8026011474</v>
          </cell>
          <cell r="N115">
            <v>6783049.8026011474</v>
          </cell>
          <cell r="O115">
            <v>7543691.8026011474</v>
          </cell>
          <cell r="P115">
            <v>8417969.8026011474</v>
          </cell>
          <cell r="T115">
            <v>112</v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916597</v>
          </cell>
          <cell r="F116">
            <v>1726292</v>
          </cell>
          <cell r="G116">
            <v>2591519</v>
          </cell>
          <cell r="H116">
            <v>3338718</v>
          </cell>
          <cell r="I116">
            <v>4013491</v>
          </cell>
          <cell r="J116">
            <v>4594459</v>
          </cell>
          <cell r="K116">
            <v>5147848</v>
          </cell>
          <cell r="L116">
            <v>5711842</v>
          </cell>
          <cell r="M116">
            <v>6329976</v>
          </cell>
          <cell r="N116">
            <v>6965514</v>
          </cell>
          <cell r="O116">
            <v>7746617</v>
          </cell>
          <cell r="P116">
            <v>8644413</v>
          </cell>
          <cell r="T116">
            <v>113</v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</row>
      </sheetData>
      <sheetData sheetId="17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23865</v>
          </cell>
          <cell r="D5">
            <v>286384</v>
          </cell>
          <cell r="E5">
            <v>23727</v>
          </cell>
          <cell r="F5">
            <v>23817</v>
          </cell>
          <cell r="G5">
            <v>23905</v>
          </cell>
          <cell r="H5">
            <v>23875</v>
          </cell>
          <cell r="I5">
            <v>23903</v>
          </cell>
          <cell r="J5">
            <v>23905</v>
          </cell>
          <cell r="K5">
            <v>23911</v>
          </cell>
          <cell r="L5">
            <v>23876</v>
          </cell>
          <cell r="M5">
            <v>23896</v>
          </cell>
          <cell r="N5">
            <v>23859</v>
          </cell>
          <cell r="O5">
            <v>23848</v>
          </cell>
          <cell r="P5">
            <v>23862</v>
          </cell>
          <cell r="T5">
            <v>2</v>
          </cell>
          <cell r="U5" t="str">
            <v>Residential</v>
          </cell>
          <cell r="V5"/>
          <cell r="W5"/>
          <cell r="X5">
            <v>23617</v>
          </cell>
          <cell r="Y5">
            <v>23638</v>
          </cell>
          <cell r="Z5">
            <v>23746</v>
          </cell>
          <cell r="AA5">
            <v>23829</v>
          </cell>
          <cell r="AB5">
            <v>23713</v>
          </cell>
          <cell r="AC5">
            <v>23962</v>
          </cell>
          <cell r="AD5">
            <v>23822</v>
          </cell>
          <cell r="AE5">
            <v>23740</v>
          </cell>
          <cell r="AF5">
            <v>23750</v>
          </cell>
          <cell r="AG5">
            <v>23713</v>
          </cell>
          <cell r="AH5">
            <v>23682</v>
          </cell>
          <cell r="AI5">
            <v>23695</v>
          </cell>
        </row>
        <row r="6">
          <cell r="A6">
            <v>3</v>
          </cell>
          <cell r="B6" t="str">
            <v>Commercial</v>
          </cell>
          <cell r="C6">
            <v>7405</v>
          </cell>
          <cell r="D6">
            <v>88859</v>
          </cell>
          <cell r="E6">
            <v>7415</v>
          </cell>
          <cell r="F6">
            <v>7407</v>
          </cell>
          <cell r="G6">
            <v>7424</v>
          </cell>
          <cell r="H6">
            <v>7424</v>
          </cell>
          <cell r="I6">
            <v>7408</v>
          </cell>
          <cell r="J6">
            <v>7403</v>
          </cell>
          <cell r="K6">
            <v>7418</v>
          </cell>
          <cell r="L6">
            <v>7402</v>
          </cell>
          <cell r="M6">
            <v>7413</v>
          </cell>
          <cell r="N6">
            <v>7391</v>
          </cell>
          <cell r="O6">
            <v>7374</v>
          </cell>
          <cell r="P6">
            <v>7380</v>
          </cell>
          <cell r="T6">
            <v>3</v>
          </cell>
          <cell r="U6" t="str">
            <v>Commercial</v>
          </cell>
          <cell r="V6"/>
          <cell r="W6"/>
          <cell r="X6">
            <v>7392</v>
          </cell>
          <cell r="Y6">
            <v>7387</v>
          </cell>
          <cell r="Z6">
            <v>7393</v>
          </cell>
          <cell r="AA6">
            <v>7405</v>
          </cell>
          <cell r="AB6">
            <v>7409</v>
          </cell>
          <cell r="AC6">
            <v>7431</v>
          </cell>
          <cell r="AD6">
            <v>7418</v>
          </cell>
          <cell r="AE6">
            <v>7406</v>
          </cell>
          <cell r="AF6">
            <v>7419</v>
          </cell>
          <cell r="AG6">
            <v>7407</v>
          </cell>
          <cell r="AH6">
            <v>7403</v>
          </cell>
          <cell r="AI6">
            <v>7405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/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/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/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/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31272</v>
          </cell>
          <cell r="D9">
            <v>375267</v>
          </cell>
          <cell r="E9">
            <v>31144</v>
          </cell>
          <cell r="F9">
            <v>31226</v>
          </cell>
          <cell r="G9">
            <v>31331</v>
          </cell>
          <cell r="H9">
            <v>31301</v>
          </cell>
          <cell r="I9">
            <v>31313</v>
          </cell>
          <cell r="J9">
            <v>31310</v>
          </cell>
          <cell r="K9">
            <v>31331</v>
          </cell>
          <cell r="L9">
            <v>31280</v>
          </cell>
          <cell r="M9">
            <v>31311</v>
          </cell>
          <cell r="N9">
            <v>31252</v>
          </cell>
          <cell r="O9">
            <v>31224</v>
          </cell>
          <cell r="P9">
            <v>31244</v>
          </cell>
          <cell r="T9">
            <v>6</v>
          </cell>
          <cell r="U9" t="str">
            <v>Total customers</v>
          </cell>
          <cell r="V9"/>
          <cell r="W9"/>
          <cell r="X9">
            <v>31011</v>
          </cell>
          <cell r="Y9">
            <v>31027</v>
          </cell>
          <cell r="Z9">
            <v>31141</v>
          </cell>
          <cell r="AA9">
            <v>31236</v>
          </cell>
          <cell r="AB9">
            <v>31124</v>
          </cell>
          <cell r="AC9">
            <v>31395</v>
          </cell>
          <cell r="AD9">
            <v>31242</v>
          </cell>
          <cell r="AE9">
            <v>31148</v>
          </cell>
          <cell r="AF9">
            <v>31171</v>
          </cell>
          <cell r="AG9">
            <v>31122</v>
          </cell>
          <cell r="AH9">
            <v>31087</v>
          </cell>
          <cell r="AI9">
            <v>31102</v>
          </cell>
        </row>
        <row r="10">
          <cell r="A10">
            <v>7</v>
          </cell>
          <cell r="G10"/>
          <cell r="T10">
            <v>7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- 2011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310218.27600000001</v>
          </cell>
          <cell r="E12">
            <v>30645</v>
          </cell>
          <cell r="F12">
            <v>31219</v>
          </cell>
          <cell r="G12">
            <v>22626</v>
          </cell>
          <cell r="H12">
            <v>18590</v>
          </cell>
          <cell r="I12">
            <v>20085.392</v>
          </cell>
          <cell r="J12">
            <v>26424.817999999999</v>
          </cell>
          <cell r="K12">
            <v>32928.561999999998</v>
          </cell>
          <cell r="L12">
            <v>30949.967000000001</v>
          </cell>
          <cell r="M12">
            <v>31162.179</v>
          </cell>
          <cell r="N12">
            <v>21607.998</v>
          </cell>
          <cell r="O12">
            <v>19068.564999999999</v>
          </cell>
          <cell r="P12">
            <v>24910.794999999998</v>
          </cell>
          <cell r="T12">
            <v>9</v>
          </cell>
          <cell r="U12" t="str">
            <v>Residential</v>
          </cell>
          <cell r="W12"/>
          <cell r="X12">
            <v>24998</v>
          </cell>
          <cell r="Y12">
            <v>21652</v>
          </cell>
          <cell r="Z12">
            <v>23125</v>
          </cell>
          <cell r="AA12">
            <v>19649</v>
          </cell>
          <cell r="AB12">
            <v>20095</v>
          </cell>
          <cell r="AC12">
            <v>27112</v>
          </cell>
          <cell r="AD12">
            <v>30202</v>
          </cell>
          <cell r="AE12">
            <v>30781</v>
          </cell>
          <cell r="AF12">
            <v>29432</v>
          </cell>
          <cell r="AG12">
            <v>22969</v>
          </cell>
          <cell r="AH12">
            <v>17594</v>
          </cell>
          <cell r="AI12">
            <v>22136</v>
          </cell>
        </row>
        <row r="13">
          <cell r="A13">
            <v>10</v>
          </cell>
          <cell r="B13" t="str">
            <v>Commercial</v>
          </cell>
          <cell r="D13">
            <v>312557.49200000003</v>
          </cell>
          <cell r="E13">
            <v>25132</v>
          </cell>
          <cell r="F13">
            <v>24318</v>
          </cell>
          <cell r="G13">
            <v>22354</v>
          </cell>
          <cell r="H13">
            <v>21750</v>
          </cell>
          <cell r="I13">
            <v>24916.542000000001</v>
          </cell>
          <cell r="J13">
            <v>27951.972000000002</v>
          </cell>
          <cell r="K13">
            <v>31626.92</v>
          </cell>
          <cell r="L13">
            <v>29817.628000000001</v>
          </cell>
          <cell r="M13">
            <v>31010.788</v>
          </cell>
          <cell r="N13">
            <v>26437.859</v>
          </cell>
          <cell r="O13">
            <v>23776.083999999999</v>
          </cell>
          <cell r="P13">
            <v>23465.699000000001</v>
          </cell>
          <cell r="T13">
            <v>10</v>
          </cell>
          <cell r="U13" t="str">
            <v>Commercial</v>
          </cell>
          <cell r="W13"/>
          <cell r="X13">
            <v>23587</v>
          </cell>
          <cell r="Y13">
            <v>21235</v>
          </cell>
          <cell r="Z13">
            <v>22089</v>
          </cell>
          <cell r="AA13">
            <v>23108</v>
          </cell>
          <cell r="AB13">
            <v>26323</v>
          </cell>
          <cell r="AC13">
            <v>27782</v>
          </cell>
          <cell r="AD13">
            <v>30390</v>
          </cell>
          <cell r="AE13">
            <v>30567</v>
          </cell>
          <cell r="AF13">
            <v>30527</v>
          </cell>
          <cell r="AG13">
            <v>27557</v>
          </cell>
          <cell r="AH13">
            <v>23181</v>
          </cell>
          <cell r="AI13">
            <v>23467</v>
          </cell>
        </row>
        <row r="14">
          <cell r="A14">
            <v>11</v>
          </cell>
          <cell r="B14" t="str">
            <v xml:space="preserve">Industrial </v>
          </cell>
          <cell r="D14">
            <v>29090</v>
          </cell>
          <cell r="E14">
            <v>1470</v>
          </cell>
          <cell r="F14">
            <v>3680</v>
          </cell>
          <cell r="G14">
            <v>4480</v>
          </cell>
          <cell r="H14">
            <v>1660</v>
          </cell>
          <cell r="I14">
            <v>4170</v>
          </cell>
          <cell r="J14">
            <v>1410</v>
          </cell>
          <cell r="K14">
            <v>5060</v>
          </cell>
          <cell r="L14">
            <v>900</v>
          </cell>
          <cell r="M14">
            <v>1130</v>
          </cell>
          <cell r="N14">
            <v>1440</v>
          </cell>
          <cell r="O14">
            <v>2520</v>
          </cell>
          <cell r="P14">
            <v>1170</v>
          </cell>
          <cell r="T14">
            <v>11</v>
          </cell>
          <cell r="U14" t="str">
            <v xml:space="preserve">Industrial </v>
          </cell>
          <cell r="W14"/>
          <cell r="X14">
            <v>2960</v>
          </cell>
          <cell r="Y14">
            <v>2500</v>
          </cell>
          <cell r="Z14">
            <v>5760</v>
          </cell>
          <cell r="AA14">
            <v>1620</v>
          </cell>
          <cell r="AB14">
            <v>2180</v>
          </cell>
          <cell r="AC14">
            <v>1760</v>
          </cell>
          <cell r="AD14">
            <v>2040</v>
          </cell>
          <cell r="AE14">
            <v>2340</v>
          </cell>
          <cell r="AF14">
            <v>2020</v>
          </cell>
          <cell r="AG14">
            <v>2780</v>
          </cell>
          <cell r="AH14">
            <v>3540</v>
          </cell>
          <cell r="AI14">
            <v>1620</v>
          </cell>
        </row>
        <row r="15">
          <cell r="A15">
            <v>12</v>
          </cell>
          <cell r="B15" t="str">
            <v>Other</v>
          </cell>
          <cell r="D15">
            <v>-8532.7022000000015</v>
          </cell>
          <cell r="E15">
            <v>0</v>
          </cell>
          <cell r="F15">
            <v>-10235</v>
          </cell>
          <cell r="G15">
            <v>-2132</v>
          </cell>
          <cell r="H15">
            <v>-2239</v>
          </cell>
          <cell r="I15">
            <v>3306.7919999999999</v>
          </cell>
          <cell r="J15">
            <v>5283.6229999999996</v>
          </cell>
          <cell r="K15">
            <v>738.75599999999997</v>
          </cell>
          <cell r="L15">
            <v>4481.0219999999999</v>
          </cell>
          <cell r="M15">
            <v>-3512.9340000000002</v>
          </cell>
          <cell r="N15">
            <v>-2157.9872</v>
          </cell>
          <cell r="O15">
            <v>-2852.4079999999999</v>
          </cell>
          <cell r="P15">
            <v>786.43399999999997</v>
          </cell>
          <cell r="T15">
            <v>12</v>
          </cell>
          <cell r="U15" t="str">
            <v>Other</v>
          </cell>
          <cell r="W15"/>
          <cell r="X15">
            <v>-264</v>
          </cell>
          <cell r="Y15">
            <v>120</v>
          </cell>
          <cell r="Z15">
            <v>2885</v>
          </cell>
          <cell r="AA15">
            <v>534</v>
          </cell>
          <cell r="AB15">
            <v>3392</v>
          </cell>
          <cell r="AC15">
            <v>4622</v>
          </cell>
          <cell r="AD15">
            <v>2369</v>
          </cell>
          <cell r="AE15">
            <v>3464</v>
          </cell>
          <cell r="AF15">
            <v>-3313</v>
          </cell>
          <cell r="AG15">
            <v>-344</v>
          </cell>
          <cell r="AH15">
            <v>2167</v>
          </cell>
          <cell r="AI15">
            <v>2715</v>
          </cell>
        </row>
        <row r="16">
          <cell r="A16">
            <v>13</v>
          </cell>
          <cell r="B16" t="str">
            <v>Total Deliveries</v>
          </cell>
          <cell r="C16"/>
          <cell r="D16">
            <v>643333.06579999998</v>
          </cell>
          <cell r="E16">
            <v>57247</v>
          </cell>
          <cell r="F16">
            <v>48982</v>
          </cell>
          <cell r="G16">
            <v>47328</v>
          </cell>
          <cell r="H16">
            <v>39761</v>
          </cell>
          <cell r="I16">
            <v>52478.726000000002</v>
          </cell>
          <cell r="J16">
            <v>61070.413</v>
          </cell>
          <cell r="K16">
            <v>70354.237999999983</v>
          </cell>
          <cell r="L16">
            <v>66148.616999999998</v>
          </cell>
          <cell r="M16">
            <v>59790.033000000003</v>
          </cell>
          <cell r="N16">
            <v>47327.8698</v>
          </cell>
          <cell r="O16">
            <v>42512.240999999995</v>
          </cell>
          <cell r="P16">
            <v>50332.928</v>
          </cell>
          <cell r="T16">
            <v>13</v>
          </cell>
          <cell r="U16" t="str">
            <v>Total Deliveries</v>
          </cell>
          <cell r="V16"/>
          <cell r="W16"/>
          <cell r="X16">
            <v>51281</v>
          </cell>
          <cell r="Y16">
            <v>45507</v>
          </cell>
          <cell r="Z16">
            <v>53859</v>
          </cell>
          <cell r="AA16">
            <v>44911</v>
          </cell>
          <cell r="AB16">
            <v>51990</v>
          </cell>
          <cell r="AC16">
            <v>61276</v>
          </cell>
          <cell r="AD16">
            <v>65001</v>
          </cell>
          <cell r="AE16">
            <v>67152</v>
          </cell>
          <cell r="AF16">
            <v>58666</v>
          </cell>
          <cell r="AG16">
            <v>52962</v>
          </cell>
          <cell r="AH16">
            <v>46482</v>
          </cell>
          <cell r="AI16">
            <v>49938</v>
          </cell>
        </row>
        <row r="17">
          <cell r="A17">
            <v>14</v>
          </cell>
          <cell r="O17"/>
          <cell r="T17">
            <v>14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</row>
        <row r="18">
          <cell r="A18">
            <v>15</v>
          </cell>
          <cell r="O18"/>
          <cell r="T18">
            <v>15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30981</v>
          </cell>
          <cell r="F20">
            <v>30979</v>
          </cell>
          <cell r="G20">
            <v>31071</v>
          </cell>
          <cell r="H20">
            <v>31103</v>
          </cell>
          <cell r="I20">
            <v>31058</v>
          </cell>
          <cell r="J20">
            <v>31001</v>
          </cell>
          <cell r="K20">
            <v>31044</v>
          </cell>
          <cell r="L20">
            <v>30996</v>
          </cell>
          <cell r="M20">
            <v>31024</v>
          </cell>
          <cell r="N20">
            <v>31043</v>
          </cell>
          <cell r="O20">
            <v>31037</v>
          </cell>
          <cell r="P20">
            <v>31029</v>
          </cell>
          <cell r="T20">
            <v>17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</row>
        <row r="21">
          <cell r="A21">
            <v>18</v>
          </cell>
          <cell r="B21" t="str">
            <v>Volume (KWH)</v>
          </cell>
          <cell r="C21"/>
          <cell r="D21"/>
          <cell r="E21">
            <v>56711</v>
          </cell>
          <cell r="F21">
            <v>45783</v>
          </cell>
          <cell r="G21">
            <v>50784</v>
          </cell>
          <cell r="H21">
            <v>50561</v>
          </cell>
          <cell r="I21">
            <v>58112.544000000002</v>
          </cell>
          <cell r="J21">
            <v>66550.301999999996</v>
          </cell>
          <cell r="K21">
            <v>71847.972999999998</v>
          </cell>
          <cell r="L21">
            <v>70609.928</v>
          </cell>
          <cell r="M21">
            <v>62480.319000000003</v>
          </cell>
          <cell r="N21">
            <v>51839.080999999998</v>
          </cell>
          <cell r="O21">
            <v>45675.885999999999</v>
          </cell>
          <cell r="P21">
            <v>56538.883999999998</v>
          </cell>
          <cell r="T21">
            <v>18</v>
          </cell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/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23837</v>
          </cell>
          <cell r="D27">
            <v>286040</v>
          </cell>
          <cell r="E27">
            <v>23727</v>
          </cell>
          <cell r="F27">
            <v>23772</v>
          </cell>
          <cell r="G27">
            <v>23816</v>
          </cell>
          <cell r="H27">
            <v>23831</v>
          </cell>
          <cell r="I27">
            <v>23845</v>
          </cell>
          <cell r="J27">
            <v>23855</v>
          </cell>
          <cell r="K27">
            <v>23863</v>
          </cell>
          <cell r="L27">
            <v>23865</v>
          </cell>
          <cell r="M27">
            <v>23868</v>
          </cell>
          <cell r="N27">
            <v>23867</v>
          </cell>
          <cell r="O27">
            <v>23866</v>
          </cell>
          <cell r="P27">
            <v>23865</v>
          </cell>
          <cell r="T27">
            <v>24</v>
          </cell>
          <cell r="U27" t="str">
            <v>Residential</v>
          </cell>
          <cell r="V27"/>
          <cell r="W27"/>
          <cell r="X27">
            <v>23617</v>
          </cell>
          <cell r="Y27">
            <v>23628</v>
          </cell>
          <cell r="Z27">
            <v>23667</v>
          </cell>
          <cell r="AA27">
            <v>23708</v>
          </cell>
          <cell r="AB27">
            <v>23709</v>
          </cell>
          <cell r="AC27">
            <v>23751</v>
          </cell>
          <cell r="AD27">
            <v>23761</v>
          </cell>
          <cell r="AE27">
            <v>23758</v>
          </cell>
          <cell r="AF27">
            <v>23757</v>
          </cell>
          <cell r="AG27">
            <v>23753</v>
          </cell>
          <cell r="AH27">
            <v>23747</v>
          </cell>
          <cell r="AI27">
            <v>23742</v>
          </cell>
        </row>
        <row r="28">
          <cell r="A28">
            <v>25</v>
          </cell>
          <cell r="B28" t="str">
            <v>Commercial</v>
          </cell>
          <cell r="C28">
            <v>7413</v>
          </cell>
          <cell r="D28">
            <v>88952</v>
          </cell>
          <cell r="E28">
            <v>7415</v>
          </cell>
          <cell r="F28">
            <v>7411</v>
          </cell>
          <cell r="G28">
            <v>7415</v>
          </cell>
          <cell r="H28">
            <v>7418</v>
          </cell>
          <cell r="I28">
            <v>7416</v>
          </cell>
          <cell r="J28">
            <v>7414</v>
          </cell>
          <cell r="K28">
            <v>7414</v>
          </cell>
          <cell r="L28">
            <v>7413</v>
          </cell>
          <cell r="M28">
            <v>7413</v>
          </cell>
          <cell r="N28">
            <v>7411</v>
          </cell>
          <cell r="O28">
            <v>7407</v>
          </cell>
          <cell r="P28">
            <v>7405</v>
          </cell>
          <cell r="T28">
            <v>25</v>
          </cell>
          <cell r="U28" t="str">
            <v>Commercial</v>
          </cell>
          <cell r="V28"/>
          <cell r="W28"/>
          <cell r="X28">
            <v>7392</v>
          </cell>
          <cell r="Y28">
            <v>7390</v>
          </cell>
          <cell r="Z28">
            <v>7391</v>
          </cell>
          <cell r="AA28">
            <v>7394</v>
          </cell>
          <cell r="AB28">
            <v>7397</v>
          </cell>
          <cell r="AC28">
            <v>7403</v>
          </cell>
          <cell r="AD28">
            <v>7405</v>
          </cell>
          <cell r="AE28">
            <v>7405</v>
          </cell>
          <cell r="AF28">
            <v>7407</v>
          </cell>
          <cell r="AG28">
            <v>7407</v>
          </cell>
          <cell r="AH28">
            <v>7406</v>
          </cell>
          <cell r="AI28">
            <v>7406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/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/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/>
          <cell r="N30"/>
          <cell r="O30"/>
          <cell r="P30"/>
          <cell r="T30">
            <v>27</v>
          </cell>
          <cell r="U30" t="str">
            <v>Other</v>
          </cell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/>
          <cell r="AG30"/>
          <cell r="AH30"/>
          <cell r="AI30"/>
        </row>
        <row r="31">
          <cell r="A31">
            <v>28</v>
          </cell>
          <cell r="B31" t="str">
            <v>Total customers</v>
          </cell>
          <cell r="C31">
            <v>31252</v>
          </cell>
          <cell r="D31">
            <v>375016</v>
          </cell>
          <cell r="E31">
            <v>31144</v>
          </cell>
          <cell r="F31">
            <v>31185</v>
          </cell>
          <cell r="G31">
            <v>31233</v>
          </cell>
          <cell r="H31">
            <v>31251</v>
          </cell>
          <cell r="I31">
            <v>31263</v>
          </cell>
          <cell r="J31">
            <v>31271</v>
          </cell>
          <cell r="K31">
            <v>31279</v>
          </cell>
          <cell r="L31">
            <v>31280</v>
          </cell>
          <cell r="M31">
            <v>31283</v>
          </cell>
          <cell r="N31">
            <v>31280</v>
          </cell>
          <cell r="O31">
            <v>31275</v>
          </cell>
          <cell r="P31">
            <v>31272</v>
          </cell>
          <cell r="T31">
            <v>28</v>
          </cell>
          <cell r="U31" t="str">
            <v>Total customers</v>
          </cell>
          <cell r="V31"/>
          <cell r="W31"/>
          <cell r="X31">
            <v>31011</v>
          </cell>
          <cell r="Y31">
            <v>31020</v>
          </cell>
          <cell r="Z31">
            <v>31060</v>
          </cell>
          <cell r="AA31">
            <v>31104</v>
          </cell>
          <cell r="AB31">
            <v>31108</v>
          </cell>
          <cell r="AC31">
            <v>31156</v>
          </cell>
          <cell r="AD31">
            <v>31168</v>
          </cell>
          <cell r="AE31">
            <v>31165</v>
          </cell>
          <cell r="AF31">
            <v>31166</v>
          </cell>
          <cell r="AG31">
            <v>31162</v>
          </cell>
          <cell r="AH31">
            <v>31155</v>
          </cell>
          <cell r="AI31">
            <v>31150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30645</v>
          </cell>
          <cell r="F35">
            <v>61864</v>
          </cell>
          <cell r="G35">
            <v>84490</v>
          </cell>
          <cell r="H35">
            <v>103080</v>
          </cell>
          <cell r="I35">
            <v>123165.39199999999</v>
          </cell>
          <cell r="J35">
            <v>149590.21</v>
          </cell>
          <cell r="K35">
            <v>182518.772</v>
          </cell>
          <cell r="L35">
            <v>213468.739</v>
          </cell>
          <cell r="M35">
            <v>244630.91800000001</v>
          </cell>
          <cell r="N35">
            <v>266238.91600000003</v>
          </cell>
          <cell r="O35">
            <v>285307.48100000003</v>
          </cell>
          <cell r="P35">
            <v>310218.27600000001</v>
          </cell>
          <cell r="T35">
            <v>32</v>
          </cell>
          <cell r="U35" t="str">
            <v>Residential</v>
          </cell>
          <cell r="W35"/>
          <cell r="X35">
            <v>24998</v>
          </cell>
          <cell r="Y35">
            <v>46650</v>
          </cell>
          <cell r="Z35">
            <v>69775</v>
          </cell>
          <cell r="AA35">
            <v>89424</v>
          </cell>
          <cell r="AB35">
            <v>109519</v>
          </cell>
          <cell r="AC35">
            <v>136631</v>
          </cell>
          <cell r="AD35">
            <v>166833</v>
          </cell>
          <cell r="AE35">
            <v>197614</v>
          </cell>
          <cell r="AF35">
            <v>227046</v>
          </cell>
          <cell r="AG35">
            <v>250015</v>
          </cell>
          <cell r="AH35">
            <v>267609</v>
          </cell>
          <cell r="AI35">
            <v>289745</v>
          </cell>
        </row>
        <row r="36">
          <cell r="A36">
            <v>33</v>
          </cell>
          <cell r="B36" t="str">
            <v>Commercial</v>
          </cell>
          <cell r="D36"/>
          <cell r="E36">
            <v>25132</v>
          </cell>
          <cell r="F36">
            <v>49450</v>
          </cell>
          <cell r="G36">
            <v>71804</v>
          </cell>
          <cell r="H36">
            <v>93554</v>
          </cell>
          <cell r="I36">
            <v>118470.542</v>
          </cell>
          <cell r="J36">
            <v>146422.514</v>
          </cell>
          <cell r="K36">
            <v>178049.43400000001</v>
          </cell>
          <cell r="L36">
            <v>207867.06200000001</v>
          </cell>
          <cell r="M36">
            <v>238877.85</v>
          </cell>
          <cell r="N36">
            <v>265315.70900000003</v>
          </cell>
          <cell r="O36">
            <v>289091.79300000001</v>
          </cell>
          <cell r="P36">
            <v>312557.49200000003</v>
          </cell>
          <cell r="T36">
            <v>33</v>
          </cell>
          <cell r="U36" t="str">
            <v>Commercial</v>
          </cell>
          <cell r="W36"/>
          <cell r="X36">
            <v>23587</v>
          </cell>
          <cell r="Y36">
            <v>44822</v>
          </cell>
          <cell r="Z36">
            <v>66911</v>
          </cell>
          <cell r="AA36">
            <v>90019</v>
          </cell>
          <cell r="AB36">
            <v>116342</v>
          </cell>
          <cell r="AC36">
            <v>144124</v>
          </cell>
          <cell r="AD36">
            <v>174514</v>
          </cell>
          <cell r="AE36">
            <v>205081</v>
          </cell>
          <cell r="AF36">
            <v>235608</v>
          </cell>
          <cell r="AG36">
            <v>263165</v>
          </cell>
          <cell r="AH36">
            <v>286346</v>
          </cell>
          <cell r="AI36">
            <v>309813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1470</v>
          </cell>
          <cell r="F37">
            <v>5150</v>
          </cell>
          <cell r="G37">
            <v>9630</v>
          </cell>
          <cell r="H37">
            <v>11290</v>
          </cell>
          <cell r="I37">
            <v>15460</v>
          </cell>
          <cell r="J37">
            <v>16870</v>
          </cell>
          <cell r="K37">
            <v>21930</v>
          </cell>
          <cell r="L37">
            <v>22830</v>
          </cell>
          <cell r="M37">
            <v>23960</v>
          </cell>
          <cell r="N37">
            <v>25400</v>
          </cell>
          <cell r="O37">
            <v>27920</v>
          </cell>
          <cell r="P37">
            <v>29090</v>
          </cell>
          <cell r="T37">
            <v>34</v>
          </cell>
          <cell r="U37" t="str">
            <v xml:space="preserve">Industrial </v>
          </cell>
          <cell r="W37"/>
          <cell r="X37">
            <v>2960</v>
          </cell>
          <cell r="Y37">
            <v>5460</v>
          </cell>
          <cell r="Z37">
            <v>11220</v>
          </cell>
          <cell r="AA37">
            <v>12840</v>
          </cell>
          <cell r="AB37">
            <v>15020</v>
          </cell>
          <cell r="AC37">
            <v>16780</v>
          </cell>
          <cell r="AD37">
            <v>18820</v>
          </cell>
          <cell r="AE37">
            <v>21160</v>
          </cell>
          <cell r="AF37">
            <v>23180</v>
          </cell>
          <cell r="AG37">
            <v>25960</v>
          </cell>
          <cell r="AH37">
            <v>29500</v>
          </cell>
          <cell r="AI37">
            <v>31120</v>
          </cell>
        </row>
        <row r="38">
          <cell r="A38">
            <v>35</v>
          </cell>
          <cell r="B38" t="str">
            <v>Other</v>
          </cell>
          <cell r="D38"/>
          <cell r="E38">
            <v>0</v>
          </cell>
          <cell r="F38">
            <v>-10235</v>
          </cell>
          <cell r="G38">
            <v>-12367</v>
          </cell>
          <cell r="H38">
            <v>-14606</v>
          </cell>
          <cell r="I38">
            <v>-11299.208000000001</v>
          </cell>
          <cell r="J38">
            <v>-6015.5850000000009</v>
          </cell>
          <cell r="K38">
            <v>-5276.8290000000006</v>
          </cell>
          <cell r="L38">
            <v>-795.8070000000007</v>
          </cell>
          <cell r="M38">
            <v>-4308.7410000000009</v>
          </cell>
          <cell r="N38">
            <v>-6466.7282000000014</v>
          </cell>
          <cell r="O38">
            <v>-9319.1362000000008</v>
          </cell>
          <cell r="P38">
            <v>-8532.7022000000015</v>
          </cell>
          <cell r="T38">
            <v>35</v>
          </cell>
          <cell r="U38" t="str">
            <v>Other</v>
          </cell>
          <cell r="W38"/>
          <cell r="X38">
            <v>-264</v>
          </cell>
          <cell r="Y38">
            <v>-144</v>
          </cell>
          <cell r="Z38">
            <v>2741</v>
          </cell>
          <cell r="AA38">
            <v>3275</v>
          </cell>
          <cell r="AB38">
            <v>6667</v>
          </cell>
          <cell r="AC38">
            <v>11289</v>
          </cell>
          <cell r="AD38">
            <v>13658</v>
          </cell>
          <cell r="AE38">
            <v>17122</v>
          </cell>
          <cell r="AF38">
            <v>13809</v>
          </cell>
          <cell r="AG38">
            <v>13465</v>
          </cell>
          <cell r="AH38">
            <v>15632</v>
          </cell>
          <cell r="AI38">
            <v>18347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57247</v>
          </cell>
          <cell r="F39">
            <v>106229</v>
          </cell>
          <cell r="G39">
            <v>153557</v>
          </cell>
          <cell r="H39">
            <v>193318</v>
          </cell>
          <cell r="I39">
            <v>245796.726</v>
          </cell>
          <cell r="J39">
            <v>306867.13899999997</v>
          </cell>
          <cell r="K39">
            <v>377221.37699999998</v>
          </cell>
          <cell r="L39">
            <v>443369.99399999995</v>
          </cell>
          <cell r="M39">
            <v>503160.02700000006</v>
          </cell>
          <cell r="N39">
            <v>550487.89679999999</v>
          </cell>
          <cell r="O39">
            <v>593000.13780000003</v>
          </cell>
          <cell r="P39">
            <v>643333.06579999998</v>
          </cell>
          <cell r="T39">
            <v>36</v>
          </cell>
          <cell r="U39" t="str">
            <v>Total Deliveries</v>
          </cell>
          <cell r="V39"/>
          <cell r="W39"/>
          <cell r="X39">
            <v>51281</v>
          </cell>
          <cell r="Y39">
            <v>96788</v>
          </cell>
          <cell r="Z39">
            <v>150647</v>
          </cell>
          <cell r="AA39">
            <v>195558</v>
          </cell>
          <cell r="AB39">
            <v>247548</v>
          </cell>
          <cell r="AC39">
            <v>308824</v>
          </cell>
          <cell r="AD39">
            <v>373825</v>
          </cell>
          <cell r="AE39">
            <v>440977</v>
          </cell>
          <cell r="AF39">
            <v>499643</v>
          </cell>
          <cell r="AG39">
            <v>552605</v>
          </cell>
          <cell r="AH39">
            <v>599087</v>
          </cell>
          <cell r="AI39">
            <v>649025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B41" t="str">
            <v xml:space="preserve">BUDGET </v>
          </cell>
          <cell r="C41"/>
          <cell r="D41"/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A42">
            <v>39</v>
          </cell>
          <cell r="B42" t="str">
            <v>Customers  - YTD average</v>
          </cell>
          <cell r="C42"/>
          <cell r="D42"/>
          <cell r="E42">
            <v>30981</v>
          </cell>
          <cell r="F42">
            <v>30980</v>
          </cell>
          <cell r="G42">
            <v>31010</v>
          </cell>
          <cell r="H42">
            <v>31034</v>
          </cell>
          <cell r="I42">
            <v>31038</v>
          </cell>
          <cell r="J42">
            <v>31032</v>
          </cell>
          <cell r="K42">
            <v>31034</v>
          </cell>
          <cell r="L42">
            <v>31029</v>
          </cell>
          <cell r="M42">
            <v>31029</v>
          </cell>
          <cell r="N42">
            <v>31030</v>
          </cell>
          <cell r="O42">
            <v>31031</v>
          </cell>
          <cell r="P42">
            <v>31031</v>
          </cell>
          <cell r="T42">
            <v>39</v>
          </cell>
        </row>
        <row r="43">
          <cell r="A43">
            <v>40</v>
          </cell>
          <cell r="B43" t="str">
            <v>Volume (KWH)- cumulative total</v>
          </cell>
          <cell r="C43"/>
          <cell r="D43"/>
          <cell r="E43">
            <v>56711</v>
          </cell>
          <cell r="F43">
            <v>102494</v>
          </cell>
          <cell r="G43">
            <v>153278</v>
          </cell>
          <cell r="H43">
            <v>203839</v>
          </cell>
          <cell r="I43">
            <v>261951.54399999999</v>
          </cell>
          <cell r="J43">
            <v>328501.84600000002</v>
          </cell>
          <cell r="K43">
            <v>400349.81900000002</v>
          </cell>
          <cell r="L43">
            <v>470959.74700000003</v>
          </cell>
          <cell r="M43">
            <v>533440.06599999999</v>
          </cell>
          <cell r="N43">
            <v>585279.147</v>
          </cell>
          <cell r="O43">
            <v>630955.03300000005</v>
          </cell>
          <cell r="P43">
            <v>687493.91700000002</v>
          </cell>
          <cell r="T43">
            <v>40</v>
          </cell>
        </row>
      </sheetData>
      <sheetData sheetId="18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19</v>
          </cell>
          <cell r="D7">
            <v>222</v>
          </cell>
          <cell r="E7">
            <v>20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18</v>
          </cell>
          <cell r="K7">
            <v>19</v>
          </cell>
          <cell r="L7">
            <v>17</v>
          </cell>
          <cell r="M7">
            <v>18</v>
          </cell>
          <cell r="N7">
            <v>18</v>
          </cell>
          <cell r="O7">
            <v>19</v>
          </cell>
          <cell r="P7">
            <v>19</v>
          </cell>
          <cell r="T7">
            <v>4</v>
          </cell>
          <cell r="U7" t="str">
            <v>Interruptible transporation</v>
          </cell>
          <cell r="V7">
            <v>18</v>
          </cell>
          <cell r="W7">
            <v>219</v>
          </cell>
          <cell r="X7">
            <v>18</v>
          </cell>
          <cell r="Y7">
            <v>19</v>
          </cell>
          <cell r="Z7">
            <v>17</v>
          </cell>
          <cell r="AA7">
            <v>16</v>
          </cell>
          <cell r="AB7">
            <v>15</v>
          </cell>
          <cell r="AC7">
            <v>19</v>
          </cell>
          <cell r="AD7">
            <v>19</v>
          </cell>
          <cell r="AE7">
            <v>19</v>
          </cell>
          <cell r="AF7">
            <v>20</v>
          </cell>
          <cell r="AG7">
            <v>18</v>
          </cell>
          <cell r="AH7">
            <v>19</v>
          </cell>
          <cell r="AI7">
            <v>20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 and MD</v>
          </cell>
          <cell r="V8">
            <v>-2</v>
          </cell>
          <cell r="W8">
            <v>-24</v>
          </cell>
          <cell r="X8">
            <v>-2</v>
          </cell>
          <cell r="Y8">
            <v>-2</v>
          </cell>
          <cell r="Z8">
            <v>-2</v>
          </cell>
          <cell r="AA8">
            <v>-2</v>
          </cell>
          <cell r="AB8">
            <v>-2</v>
          </cell>
          <cell r="AC8">
            <v>-2</v>
          </cell>
          <cell r="AD8">
            <v>-2</v>
          </cell>
          <cell r="AE8">
            <v>-2</v>
          </cell>
          <cell r="AF8">
            <v>-2</v>
          </cell>
          <cell r="AG8">
            <v>-2</v>
          </cell>
          <cell r="AH8">
            <v>-2</v>
          </cell>
          <cell r="AI8">
            <v>-2</v>
          </cell>
        </row>
        <row r="9">
          <cell r="A9">
            <v>6</v>
          </cell>
          <cell r="B9" t="str">
            <v>Total customers</v>
          </cell>
          <cell r="C9">
            <v>16</v>
          </cell>
          <cell r="D9">
            <v>186</v>
          </cell>
          <cell r="E9">
            <v>17</v>
          </cell>
          <cell r="F9">
            <v>16</v>
          </cell>
          <cell r="G9">
            <v>16</v>
          </cell>
          <cell r="H9">
            <v>15</v>
          </cell>
          <cell r="I9">
            <v>15</v>
          </cell>
          <cell r="J9">
            <v>15</v>
          </cell>
          <cell r="K9">
            <v>16</v>
          </cell>
          <cell r="L9">
            <v>14</v>
          </cell>
          <cell r="M9">
            <v>15</v>
          </cell>
          <cell r="N9">
            <v>15</v>
          </cell>
          <cell r="O9">
            <v>16</v>
          </cell>
          <cell r="P9">
            <v>16</v>
          </cell>
          <cell r="T9">
            <v>6</v>
          </cell>
          <cell r="U9" t="str">
            <v>Total customers</v>
          </cell>
          <cell r="V9">
            <v>16</v>
          </cell>
          <cell r="W9">
            <v>195</v>
          </cell>
          <cell r="X9">
            <v>16</v>
          </cell>
          <cell r="Y9">
            <v>17</v>
          </cell>
          <cell r="Z9">
            <v>15</v>
          </cell>
          <cell r="AA9">
            <v>14</v>
          </cell>
          <cell r="AB9">
            <v>13</v>
          </cell>
          <cell r="AC9">
            <v>17</v>
          </cell>
          <cell r="AD9">
            <v>17</v>
          </cell>
          <cell r="AE9">
            <v>17</v>
          </cell>
          <cell r="AF9">
            <v>18</v>
          </cell>
          <cell r="AG9">
            <v>16</v>
          </cell>
          <cell r="AH9">
            <v>17</v>
          </cell>
          <cell r="AI9">
            <v>18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(2014)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- 2013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43117402</v>
          </cell>
          <cell r="E14">
            <v>4954250</v>
          </cell>
          <cell r="F14">
            <v>4581853</v>
          </cell>
          <cell r="G14">
            <v>4658908</v>
          </cell>
          <cell r="H14">
            <v>3021093</v>
          </cell>
          <cell r="I14">
            <v>2907086</v>
          </cell>
          <cell r="J14">
            <v>2503246</v>
          </cell>
          <cell r="K14">
            <v>2891759</v>
          </cell>
          <cell r="L14">
            <v>2926590</v>
          </cell>
          <cell r="M14">
            <v>3063597</v>
          </cell>
          <cell r="N14">
            <v>3193707</v>
          </cell>
          <cell r="O14">
            <v>3993467</v>
          </cell>
          <cell r="P14">
            <v>4421846</v>
          </cell>
          <cell r="T14">
            <v>11</v>
          </cell>
          <cell r="U14" t="str">
            <v>Transportation firm</v>
          </cell>
          <cell r="W14"/>
          <cell r="X14">
            <v>3280771</v>
          </cell>
          <cell r="Y14">
            <v>3209628</v>
          </cell>
          <cell r="Z14">
            <v>3247157</v>
          </cell>
          <cell r="AA14">
            <v>2319816</v>
          </cell>
          <cell r="AB14">
            <v>2391385</v>
          </cell>
          <cell r="AC14">
            <v>2323355</v>
          </cell>
          <cell r="AD14">
            <v>2408032</v>
          </cell>
          <cell r="AE14">
            <v>2269358</v>
          </cell>
          <cell r="AF14">
            <v>2104628</v>
          </cell>
          <cell r="AG14">
            <v>2434378</v>
          </cell>
          <cell r="AH14">
            <v>3051196</v>
          </cell>
          <cell r="AI14">
            <v>3432405</v>
          </cell>
        </row>
        <row r="15">
          <cell r="A15">
            <v>12</v>
          </cell>
          <cell r="B15" t="str">
            <v>Interruptible transportation</v>
          </cell>
          <cell r="D15">
            <v>1599941</v>
          </cell>
          <cell r="E15">
            <v>174991</v>
          </cell>
          <cell r="F15">
            <v>98755</v>
          </cell>
          <cell r="G15">
            <v>164102</v>
          </cell>
          <cell r="H15">
            <v>50935</v>
          </cell>
          <cell r="I15">
            <v>74103</v>
          </cell>
          <cell r="J15">
            <v>126531</v>
          </cell>
          <cell r="K15">
            <v>198504</v>
          </cell>
          <cell r="L15">
            <v>111294</v>
          </cell>
          <cell r="M15">
            <v>129103</v>
          </cell>
          <cell r="N15">
            <v>118607</v>
          </cell>
          <cell r="O15">
            <v>224633</v>
          </cell>
          <cell r="P15">
            <v>128383</v>
          </cell>
          <cell r="T15">
            <v>12</v>
          </cell>
          <cell r="U15" t="str">
            <v>Interruptible transporation</v>
          </cell>
          <cell r="W15"/>
          <cell r="X15">
            <v>656263</v>
          </cell>
          <cell r="Y15">
            <v>521353</v>
          </cell>
          <cell r="Z15">
            <v>335066</v>
          </cell>
          <cell r="AA15">
            <v>261423</v>
          </cell>
          <cell r="AB15">
            <v>237863</v>
          </cell>
          <cell r="AC15">
            <v>213035</v>
          </cell>
          <cell r="AD15">
            <v>262156</v>
          </cell>
          <cell r="AE15">
            <v>154675</v>
          </cell>
          <cell r="AF15">
            <v>77701</v>
          </cell>
          <cell r="AG15">
            <v>128312</v>
          </cell>
          <cell r="AH15">
            <v>257740</v>
          </cell>
          <cell r="AI15">
            <v>162436</v>
          </cell>
        </row>
        <row r="16">
          <cell r="A16">
            <v>13</v>
          </cell>
          <cell r="B16" t="str">
            <v>Less: ESNG to DE, MD &amp; SP</v>
          </cell>
          <cell r="D16">
            <v>-11053974</v>
          </cell>
          <cell r="E16">
            <v>-1760470</v>
          </cell>
          <cell r="F16">
            <v>-1489044</v>
          </cell>
          <cell r="G16">
            <v>-1384042</v>
          </cell>
          <cell r="H16">
            <v>-784703</v>
          </cell>
          <cell r="I16">
            <v>-536394</v>
          </cell>
          <cell r="J16">
            <v>-479780</v>
          </cell>
          <cell r="K16">
            <v>-454073</v>
          </cell>
          <cell r="L16">
            <v>-474969</v>
          </cell>
          <cell r="M16">
            <v>-556432</v>
          </cell>
          <cell r="N16">
            <v>-681739</v>
          </cell>
          <cell r="O16">
            <v>-1104408</v>
          </cell>
          <cell r="P16">
            <v>-1347920</v>
          </cell>
          <cell r="T16">
            <v>13</v>
          </cell>
          <cell r="U16" t="str">
            <v>Less: ESNG to DE and MD</v>
          </cell>
          <cell r="W16"/>
          <cell r="X16">
            <v>-1460850</v>
          </cell>
          <cell r="Y16">
            <v>-1377772</v>
          </cell>
          <cell r="Z16">
            <v>-1318663</v>
          </cell>
          <cell r="AA16">
            <v>-729672</v>
          </cell>
          <cell r="AB16">
            <v>-521758</v>
          </cell>
          <cell r="AC16">
            <v>-429767</v>
          </cell>
          <cell r="AD16">
            <v>-432611</v>
          </cell>
          <cell r="AE16">
            <v>-462691</v>
          </cell>
          <cell r="AF16">
            <v>-547410</v>
          </cell>
          <cell r="AG16">
            <v>-652693</v>
          </cell>
          <cell r="AH16">
            <v>-1037577</v>
          </cell>
          <cell r="AI16">
            <v>-1286620</v>
          </cell>
        </row>
        <row r="17">
          <cell r="A17">
            <v>14</v>
          </cell>
          <cell r="B17" t="str">
            <v>Total Deliveries</v>
          </cell>
          <cell r="C17"/>
          <cell r="D17">
            <v>33663369</v>
          </cell>
          <cell r="E17">
            <v>3368771</v>
          </cell>
          <cell r="F17">
            <v>3191564</v>
          </cell>
          <cell r="G17">
            <v>3438968</v>
          </cell>
          <cell r="H17">
            <v>2287325</v>
          </cell>
          <cell r="I17">
            <v>2444795</v>
          </cell>
          <cell r="J17">
            <v>2149997</v>
          </cell>
          <cell r="K17">
            <v>2636190</v>
          </cell>
          <cell r="L17">
            <v>2562915</v>
          </cell>
          <cell r="M17">
            <v>2636268</v>
          </cell>
          <cell r="N17">
            <v>2630575</v>
          </cell>
          <cell r="O17">
            <v>3113692</v>
          </cell>
          <cell r="P17">
            <v>3202309</v>
          </cell>
          <cell r="T17">
            <v>14</v>
          </cell>
          <cell r="U17" t="str">
            <v>Total Deliveries</v>
          </cell>
          <cell r="V17"/>
          <cell r="W17"/>
          <cell r="X17">
            <v>2476184</v>
          </cell>
          <cell r="Y17">
            <v>2353209</v>
          </cell>
          <cell r="Z17">
            <v>2263560</v>
          </cell>
          <cell r="AA17">
            <v>1851567</v>
          </cell>
          <cell r="AB17">
            <v>2107490</v>
          </cell>
          <cell r="AC17">
            <v>2106623</v>
          </cell>
          <cell r="AD17">
            <v>2237577</v>
          </cell>
          <cell r="AE17">
            <v>1961342</v>
          </cell>
          <cell r="AF17">
            <v>1634919</v>
          </cell>
          <cell r="AG17">
            <v>1909997</v>
          </cell>
          <cell r="AH17">
            <v>2271359</v>
          </cell>
          <cell r="AI17">
            <v>2308221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1.0648500000000001</v>
          </cell>
          <cell r="F20">
            <v>1.05365</v>
          </cell>
          <cell r="G20">
            <v>1.05331</v>
          </cell>
          <cell r="H20">
            <v>1.0564499999999999</v>
          </cell>
          <cell r="I20">
            <v>1.05789</v>
          </cell>
          <cell r="J20">
            <v>1.05959</v>
          </cell>
          <cell r="K20">
            <v>1.0670500000000001</v>
          </cell>
          <cell r="L20">
            <v>1.0666</v>
          </cell>
          <cell r="M20">
            <v>1.0642199999999999</v>
          </cell>
          <cell r="N20">
            <v>1.0648599999999999</v>
          </cell>
          <cell r="O20">
            <v>1.06724</v>
          </cell>
          <cell r="P20">
            <v>1.06707</v>
          </cell>
          <cell r="T20">
            <v>17</v>
          </cell>
          <cell r="X20">
            <v>1.0380400000000001</v>
          </cell>
          <cell r="Y20">
            <v>1.0367999999999999</v>
          </cell>
          <cell r="Z20">
            <v>1.0362800000000001</v>
          </cell>
          <cell r="AA20">
            <v>1.02982</v>
          </cell>
          <cell r="AB20">
            <v>1.03478</v>
          </cell>
          <cell r="AC20">
            <v>1.0458799999999999</v>
          </cell>
          <cell r="AD20">
            <v>1.0603199999999999</v>
          </cell>
          <cell r="AE20">
            <v>1.06446</v>
          </cell>
          <cell r="AF20">
            <v>1.07433</v>
          </cell>
          <cell r="AG20">
            <v>1.0718000000000001</v>
          </cell>
          <cell r="AH20">
            <v>1.0764800000000001</v>
          </cell>
          <cell r="AI20">
            <v>1.0692900000000001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C22"/>
          <cell r="D22">
            <v>45778652.940290004</v>
          </cell>
          <cell r="E22">
            <v>5275533</v>
          </cell>
          <cell r="F22">
            <v>4827669</v>
          </cell>
          <cell r="G22">
            <v>4907274</v>
          </cell>
          <cell r="H22">
            <v>3191634</v>
          </cell>
          <cell r="I22">
            <v>3075377.20854</v>
          </cell>
          <cell r="J22">
            <v>2652414.4291400001</v>
          </cell>
          <cell r="K22">
            <v>3085651.4409500002</v>
          </cell>
          <cell r="L22">
            <v>3121500.8939999999</v>
          </cell>
          <cell r="M22">
            <v>3260341.1993399998</v>
          </cell>
          <cell r="N22">
            <v>3400850.8360199998</v>
          </cell>
          <cell r="O22">
            <v>4261987.7210799996</v>
          </cell>
          <cell r="P22">
            <v>4718419.2112199999</v>
          </cell>
          <cell r="T22">
            <v>19</v>
          </cell>
          <cell r="U22" t="str">
            <v>Transportation firm</v>
          </cell>
          <cell r="W22"/>
          <cell r="X22">
            <v>3405571.5288400003</v>
          </cell>
          <cell r="Y22">
            <v>3327742.3103999998</v>
          </cell>
          <cell r="Z22">
            <v>3364963.8559600003</v>
          </cell>
          <cell r="AA22">
            <v>2388992.9131199997</v>
          </cell>
          <cell r="AB22">
            <v>2474557.3703000001</v>
          </cell>
          <cell r="AC22">
            <v>2429950.5274</v>
          </cell>
          <cell r="AD22">
            <v>2553284.4902399997</v>
          </cell>
          <cell r="AE22">
            <v>2415640.8166799997</v>
          </cell>
          <cell r="AF22">
            <v>2261064.9992399998</v>
          </cell>
          <cell r="AG22">
            <v>2609166.3404000001</v>
          </cell>
          <cell r="AH22">
            <v>3284551.4700800003</v>
          </cell>
          <cell r="AI22">
            <v>3670236.3424500003</v>
          </cell>
        </row>
        <row r="23">
          <cell r="A23">
            <v>20</v>
          </cell>
          <cell r="B23" t="str">
            <v>Interruptible transportation</v>
          </cell>
          <cell r="C23"/>
          <cell r="D23">
            <v>1700460.4939700002</v>
          </cell>
          <cell r="E23">
            <v>186339</v>
          </cell>
          <cell r="F23">
            <v>104053</v>
          </cell>
          <cell r="G23">
            <v>172850</v>
          </cell>
          <cell r="H23">
            <v>53810</v>
          </cell>
          <cell r="I23">
            <v>78392.822669999994</v>
          </cell>
          <cell r="J23">
            <v>134070.98229000001</v>
          </cell>
          <cell r="K23">
            <v>211813.69320000001</v>
          </cell>
          <cell r="L23">
            <v>118706.1804</v>
          </cell>
          <cell r="M23">
            <v>137393.99466</v>
          </cell>
          <cell r="N23">
            <v>126299.85001999998</v>
          </cell>
          <cell r="O23">
            <v>239737.32292000001</v>
          </cell>
          <cell r="P23">
            <v>136993.64780999999</v>
          </cell>
          <cell r="T23">
            <v>20</v>
          </cell>
          <cell r="U23" t="str">
            <v>Interruptible transportation</v>
          </cell>
          <cell r="W23"/>
          <cell r="X23">
            <v>681227.24452000007</v>
          </cell>
          <cell r="Y23">
            <v>540538.79039999994</v>
          </cell>
          <cell r="Z23">
            <v>347222.19448000001</v>
          </cell>
          <cell r="AA23">
            <v>269218.63386</v>
          </cell>
          <cell r="AB23">
            <v>246135.87514000002</v>
          </cell>
          <cell r="AC23">
            <v>222809.04579999999</v>
          </cell>
          <cell r="AD23">
            <v>277969.24991999997</v>
          </cell>
          <cell r="AE23">
            <v>164645.3505</v>
          </cell>
          <cell r="AF23">
            <v>83476.515329999995</v>
          </cell>
          <cell r="AG23">
            <v>137524.80160000001</v>
          </cell>
          <cell r="AH23">
            <v>277451.95520000003</v>
          </cell>
          <cell r="AI23">
            <v>173691.19044000001</v>
          </cell>
        </row>
        <row r="24">
          <cell r="A24">
            <v>21</v>
          </cell>
          <cell r="B24" t="str">
            <v>Less: ESNG to DE, MD &amp; SP</v>
          </cell>
          <cell r="C24"/>
          <cell r="D24">
            <v>-11732443.511810001</v>
          </cell>
          <cell r="E24">
            <v>-1874636</v>
          </cell>
          <cell r="F24">
            <v>-1568931</v>
          </cell>
          <cell r="G24">
            <v>-1457825</v>
          </cell>
          <cell r="H24">
            <v>-828999</v>
          </cell>
          <cell r="I24">
            <v>-567445.84866000002</v>
          </cell>
          <cell r="J24">
            <v>-508370.09020000004</v>
          </cell>
          <cell r="K24">
            <v>-484518.59465000004</v>
          </cell>
          <cell r="L24">
            <v>-506601.93540000002</v>
          </cell>
          <cell r="M24">
            <v>-592166.06303999992</v>
          </cell>
          <cell r="N24">
            <v>-725956.59153999994</v>
          </cell>
          <cell r="O24">
            <v>-1178668.3939199999</v>
          </cell>
          <cell r="P24">
            <v>-1438324.9944</v>
          </cell>
          <cell r="T24">
            <v>21</v>
          </cell>
          <cell r="U24" t="str">
            <v>Less: ESNG to DE and MD</v>
          </cell>
          <cell r="W24"/>
          <cell r="X24">
            <v>-1516420.7340000002</v>
          </cell>
          <cell r="Y24">
            <v>-1428474.0096</v>
          </cell>
          <cell r="Z24">
            <v>-1366504.0936400001</v>
          </cell>
          <cell r="AA24">
            <v>-751430.81903999997</v>
          </cell>
          <cell r="AB24">
            <v>-539904.74323999998</v>
          </cell>
          <cell r="AC24">
            <v>-449484.70995999995</v>
          </cell>
          <cell r="AD24">
            <v>-458706.09551999997</v>
          </cell>
          <cell r="AE24">
            <v>-492516.06185999996</v>
          </cell>
          <cell r="AF24">
            <v>-588098.98530000006</v>
          </cell>
          <cell r="AG24">
            <v>-699556.3574000001</v>
          </cell>
          <cell r="AH24">
            <v>-1116930.8889600001</v>
          </cell>
          <cell r="AI24">
            <v>-1375769.8998</v>
          </cell>
        </row>
        <row r="25">
          <cell r="A25">
            <v>22</v>
          </cell>
          <cell r="B25" t="str">
            <v>Total Deliveries</v>
          </cell>
          <cell r="C25"/>
          <cell r="D25">
            <v>0</v>
          </cell>
          <cell r="E25">
            <v>3587236</v>
          </cell>
          <cell r="F25">
            <v>3362791</v>
          </cell>
          <cell r="G25">
            <v>3622299</v>
          </cell>
          <cell r="H25">
            <v>2416445</v>
          </cell>
          <cell r="I25">
            <v>2586324.18255</v>
          </cell>
          <cell r="J25">
            <v>2278115.3212300004</v>
          </cell>
          <cell r="K25">
            <v>2812946.5395000004</v>
          </cell>
          <cell r="L25">
            <v>2733605.139</v>
          </cell>
          <cell r="M25">
            <v>2805569.1309599997</v>
          </cell>
          <cell r="N25">
            <v>2801194.0944999997</v>
          </cell>
          <cell r="O25">
            <v>3323056.6500800001</v>
          </cell>
          <cell r="P25">
            <v>3417087.8646299997</v>
          </cell>
          <cell r="T25">
            <v>22</v>
          </cell>
          <cell r="U25" t="str">
            <v>Total Deliveries</v>
          </cell>
          <cell r="V25"/>
          <cell r="W25"/>
          <cell r="X25">
            <v>2570378.0393600003</v>
          </cell>
          <cell r="Y25">
            <v>2439807.0911999997</v>
          </cell>
          <cell r="Z25">
            <v>2345681.9568000003</v>
          </cell>
          <cell r="AA25">
            <v>1906780.7279399997</v>
          </cell>
          <cell r="AB25">
            <v>2180788.5022</v>
          </cell>
          <cell r="AC25">
            <v>2203274.8632399999</v>
          </cell>
          <cell r="AD25">
            <v>2372547.6446399996</v>
          </cell>
          <cell r="AE25">
            <v>2087770.1053199999</v>
          </cell>
          <cell r="AF25">
            <v>1756442.5292699996</v>
          </cell>
          <cell r="AG25">
            <v>2047134.7845999999</v>
          </cell>
          <cell r="AH25">
            <v>2445072.5363200004</v>
          </cell>
          <cell r="AI25">
            <v>2468157.6330900006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40003791</v>
          </cell>
          <cell r="E29">
            <v>4039029</v>
          </cell>
          <cell r="F29">
            <v>3735400</v>
          </cell>
          <cell r="G29">
            <v>3945114</v>
          </cell>
          <cell r="H29">
            <v>2938504</v>
          </cell>
          <cell r="I29">
            <v>2796136</v>
          </cell>
          <cell r="J29">
            <v>2727935</v>
          </cell>
          <cell r="K29">
            <v>3617728</v>
          </cell>
          <cell r="L29">
            <v>3774630</v>
          </cell>
          <cell r="M29">
            <v>3463998</v>
          </cell>
          <cell r="N29">
            <v>3522940</v>
          </cell>
          <cell r="O29">
            <v>2876501</v>
          </cell>
          <cell r="P29">
            <v>2565876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-11634338</v>
          </cell>
          <cell r="E30">
            <v>-1478879</v>
          </cell>
          <cell r="F30">
            <v>-1258763</v>
          </cell>
          <cell r="G30">
            <v>-1333208</v>
          </cell>
          <cell r="H30">
            <v>-716995</v>
          </cell>
          <cell r="I30">
            <v>-533932</v>
          </cell>
          <cell r="J30">
            <v>-435492</v>
          </cell>
          <cell r="K30">
            <v>-990152</v>
          </cell>
          <cell r="L30">
            <v>-1249823</v>
          </cell>
          <cell r="M30">
            <v>-1140081</v>
          </cell>
          <cell r="N30">
            <v>-1148699</v>
          </cell>
          <cell r="O30">
            <v>-716995</v>
          </cell>
          <cell r="P30">
            <v>-631319</v>
          </cell>
          <cell r="T30">
            <v>27</v>
          </cell>
        </row>
        <row r="31">
          <cell r="A31">
            <v>28</v>
          </cell>
          <cell r="D31">
            <v>28369453</v>
          </cell>
          <cell r="E31">
            <v>2560150</v>
          </cell>
          <cell r="F31">
            <v>2476637</v>
          </cell>
          <cell r="G31">
            <v>2611906</v>
          </cell>
          <cell r="H31">
            <v>2221509</v>
          </cell>
          <cell r="I31">
            <v>2262204</v>
          </cell>
          <cell r="J31">
            <v>2292443</v>
          </cell>
          <cell r="K31">
            <v>2627576</v>
          </cell>
          <cell r="L31">
            <v>2524807</v>
          </cell>
          <cell r="M31">
            <v>2323917</v>
          </cell>
          <cell r="N31">
            <v>2374241</v>
          </cell>
          <cell r="O31">
            <v>2159506</v>
          </cell>
          <cell r="P31">
            <v>1934557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41403923.684999995</v>
          </cell>
          <cell r="E33">
            <v>4180395.0149999997</v>
          </cell>
          <cell r="F33">
            <v>3866138.9999999995</v>
          </cell>
          <cell r="G33">
            <v>4083192.9899999998</v>
          </cell>
          <cell r="H33">
            <v>3041351.6399999997</v>
          </cell>
          <cell r="I33">
            <v>2894000.76</v>
          </cell>
          <cell r="J33">
            <v>2823412.7249999996</v>
          </cell>
          <cell r="K33">
            <v>3744348.4799999995</v>
          </cell>
          <cell r="L33">
            <v>3906742.05</v>
          </cell>
          <cell r="M33">
            <v>3585237.9299999997</v>
          </cell>
          <cell r="N33">
            <v>3646242.9</v>
          </cell>
          <cell r="O33">
            <v>2977178.5349999997</v>
          </cell>
          <cell r="P33">
            <v>2655681.6599999997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-12041539.829999998</v>
          </cell>
          <cell r="E34">
            <v>-1530639.7649999999</v>
          </cell>
          <cell r="F34">
            <v>-1302819.7049999998</v>
          </cell>
          <cell r="G34">
            <v>-1379870.2799999998</v>
          </cell>
          <cell r="H34">
            <v>-742089.82499999995</v>
          </cell>
          <cell r="I34">
            <v>-552619.62</v>
          </cell>
          <cell r="J34">
            <v>-450734.22</v>
          </cell>
          <cell r="K34">
            <v>-1024807.32</v>
          </cell>
          <cell r="L34">
            <v>-1293566.8049999999</v>
          </cell>
          <cell r="M34">
            <v>-1179983.835</v>
          </cell>
          <cell r="N34">
            <v>-1188903.4649999999</v>
          </cell>
          <cell r="O34">
            <v>-742089.82499999995</v>
          </cell>
          <cell r="P34">
            <v>-653415.16499999992</v>
          </cell>
          <cell r="T34">
            <v>31</v>
          </cell>
        </row>
        <row r="35">
          <cell r="A35">
            <v>32</v>
          </cell>
          <cell r="D35">
            <v>29362383.854999997</v>
          </cell>
          <cell r="E35">
            <v>2649755.25</v>
          </cell>
          <cell r="F35">
            <v>2563319.2949999999</v>
          </cell>
          <cell r="G35">
            <v>2703322.71</v>
          </cell>
          <cell r="H35">
            <v>2299261.8149999995</v>
          </cell>
          <cell r="I35">
            <v>2341381.1399999997</v>
          </cell>
          <cell r="J35">
            <v>2372678.5049999999</v>
          </cell>
          <cell r="K35">
            <v>2719541.1599999997</v>
          </cell>
          <cell r="L35">
            <v>2613175.2450000001</v>
          </cell>
          <cell r="M35">
            <v>2405254.0949999997</v>
          </cell>
          <cell r="N35">
            <v>2457339.4350000001</v>
          </cell>
          <cell r="O35">
            <v>2235088.71</v>
          </cell>
          <cell r="P35">
            <v>2002266.4949999996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- 2013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20</v>
          </cell>
          <cell r="F43">
            <v>19.5</v>
          </cell>
          <cell r="G43">
            <v>19.333333333333332</v>
          </cell>
          <cell r="H43">
            <v>19</v>
          </cell>
          <cell r="I43">
            <v>18.8</v>
          </cell>
          <cell r="J43">
            <v>18.666666666666668</v>
          </cell>
          <cell r="K43">
            <v>18.714285714285715</v>
          </cell>
          <cell r="L43">
            <v>18.5</v>
          </cell>
          <cell r="M43">
            <v>18.444444444444443</v>
          </cell>
          <cell r="N43">
            <v>18.399999999999999</v>
          </cell>
          <cell r="O43">
            <v>18.454545454545453</v>
          </cell>
          <cell r="P43">
            <v>18.5</v>
          </cell>
          <cell r="T43">
            <v>40</v>
          </cell>
          <cell r="U43" t="str">
            <v>Interruptible transporation</v>
          </cell>
          <cell r="V43"/>
          <cell r="W43"/>
          <cell r="X43">
            <v>18</v>
          </cell>
          <cell r="Y43">
            <v>18.5</v>
          </cell>
          <cell r="Z43">
            <v>18</v>
          </cell>
          <cell r="AA43">
            <v>17.5</v>
          </cell>
          <cell r="AB43">
            <v>17</v>
          </cell>
          <cell r="AC43">
            <v>17.333333333333332</v>
          </cell>
          <cell r="AD43">
            <v>17.571428571428573</v>
          </cell>
          <cell r="AE43">
            <v>17.75</v>
          </cell>
          <cell r="AF43">
            <v>18</v>
          </cell>
          <cell r="AG43">
            <v>18</v>
          </cell>
          <cell r="AH43">
            <v>18.09090909090909</v>
          </cell>
          <cell r="AI43">
            <v>18.25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 and MD</v>
          </cell>
          <cell r="V44"/>
          <cell r="W44"/>
          <cell r="X44">
            <v>-2</v>
          </cell>
          <cell r="Y44">
            <v>-2</v>
          </cell>
          <cell r="Z44">
            <v>-2</v>
          </cell>
          <cell r="AA44">
            <v>-2</v>
          </cell>
          <cell r="AB44">
            <v>-2</v>
          </cell>
          <cell r="AC44">
            <v>-2</v>
          </cell>
          <cell r="AD44">
            <v>-2</v>
          </cell>
          <cell r="AE44">
            <v>-2</v>
          </cell>
          <cell r="AF44">
            <v>-2</v>
          </cell>
          <cell r="AG44">
            <v>-2</v>
          </cell>
          <cell r="AH44">
            <v>-2</v>
          </cell>
          <cell r="AI44">
            <v>-2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17</v>
          </cell>
          <cell r="F45">
            <v>16.5</v>
          </cell>
          <cell r="G45">
            <v>16.333333333333332</v>
          </cell>
          <cell r="H45">
            <v>16</v>
          </cell>
          <cell r="I45">
            <v>15.8</v>
          </cell>
          <cell r="J45">
            <v>15.666666666666668</v>
          </cell>
          <cell r="K45">
            <v>15.714285714285715</v>
          </cell>
          <cell r="L45">
            <v>15.5</v>
          </cell>
          <cell r="M45">
            <v>15.444444444444443</v>
          </cell>
          <cell r="N45">
            <v>15.399999999999999</v>
          </cell>
          <cell r="O45">
            <v>15.454545454545453</v>
          </cell>
          <cell r="P45">
            <v>15.5</v>
          </cell>
          <cell r="T45">
            <v>42</v>
          </cell>
          <cell r="U45" t="str">
            <v>Total customers</v>
          </cell>
          <cell r="V45"/>
          <cell r="W45"/>
          <cell r="X45">
            <v>16</v>
          </cell>
          <cell r="Y45">
            <v>16.5</v>
          </cell>
          <cell r="Z45">
            <v>16</v>
          </cell>
          <cell r="AA45">
            <v>15.5</v>
          </cell>
          <cell r="AB45">
            <v>15</v>
          </cell>
          <cell r="AC45">
            <v>15.333333333333332</v>
          </cell>
          <cell r="AD45">
            <v>15.571428571428573</v>
          </cell>
          <cell r="AE45">
            <v>15.75</v>
          </cell>
          <cell r="AF45">
            <v>16</v>
          </cell>
          <cell r="AG45">
            <v>16</v>
          </cell>
          <cell r="AH45">
            <v>16.09090909090909</v>
          </cell>
          <cell r="AI45">
            <v>16.25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- 2013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4954250</v>
          </cell>
          <cell r="F51">
            <v>9536103</v>
          </cell>
          <cell r="G51">
            <v>14195011</v>
          </cell>
          <cell r="H51">
            <v>17216104</v>
          </cell>
          <cell r="I51">
            <v>20123190</v>
          </cell>
          <cell r="J51">
            <v>22626436</v>
          </cell>
          <cell r="K51">
            <v>25518195</v>
          </cell>
          <cell r="L51">
            <v>28444785</v>
          </cell>
          <cell r="M51">
            <v>31508382</v>
          </cell>
          <cell r="N51">
            <v>34702089</v>
          </cell>
          <cell r="O51">
            <v>38695556</v>
          </cell>
          <cell r="P51">
            <v>43117402</v>
          </cell>
          <cell r="T51">
            <v>48</v>
          </cell>
          <cell r="U51" t="str">
            <v>Transportation firm</v>
          </cell>
          <cell r="W51"/>
          <cell r="X51">
            <v>3280771</v>
          </cell>
          <cell r="Y51">
            <v>6490399</v>
          </cell>
          <cell r="Z51">
            <v>9737556</v>
          </cell>
          <cell r="AA51">
            <v>12057372</v>
          </cell>
          <cell r="AB51">
            <v>14448757</v>
          </cell>
          <cell r="AC51">
            <v>16772112</v>
          </cell>
          <cell r="AD51">
            <v>19180144</v>
          </cell>
          <cell r="AE51">
            <v>21449502</v>
          </cell>
          <cell r="AF51">
            <v>23554130</v>
          </cell>
          <cell r="AG51">
            <v>25988508</v>
          </cell>
          <cell r="AH51">
            <v>29039704</v>
          </cell>
          <cell r="AI51">
            <v>32472109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174991</v>
          </cell>
          <cell r="F52">
            <v>273746</v>
          </cell>
          <cell r="G52">
            <v>437848</v>
          </cell>
          <cell r="H52">
            <v>488783</v>
          </cell>
          <cell r="I52">
            <v>562886</v>
          </cell>
          <cell r="J52">
            <v>689417</v>
          </cell>
          <cell r="K52">
            <v>887921</v>
          </cell>
          <cell r="L52">
            <v>999215</v>
          </cell>
          <cell r="M52">
            <v>1128318</v>
          </cell>
          <cell r="N52">
            <v>1246925</v>
          </cell>
          <cell r="O52">
            <v>1471558</v>
          </cell>
          <cell r="P52">
            <v>1599941</v>
          </cell>
          <cell r="T52">
            <v>49</v>
          </cell>
          <cell r="U52" t="str">
            <v>Interruptible transporation</v>
          </cell>
          <cell r="W52"/>
          <cell r="X52">
            <v>656263</v>
          </cell>
          <cell r="Y52">
            <v>1177616</v>
          </cell>
          <cell r="Z52">
            <v>1512682</v>
          </cell>
          <cell r="AA52">
            <v>1774105</v>
          </cell>
          <cell r="AB52">
            <v>2011968</v>
          </cell>
          <cell r="AC52">
            <v>2225003</v>
          </cell>
          <cell r="AD52">
            <v>2487159</v>
          </cell>
          <cell r="AE52">
            <v>2641834</v>
          </cell>
          <cell r="AF52">
            <v>2719535</v>
          </cell>
          <cell r="AG52">
            <v>2847847</v>
          </cell>
          <cell r="AH52">
            <v>3105587</v>
          </cell>
          <cell r="AI52">
            <v>3268023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-1760470</v>
          </cell>
          <cell r="F53">
            <v>-3249514</v>
          </cell>
          <cell r="G53">
            <v>-4633556</v>
          </cell>
          <cell r="H53">
            <v>-5418259</v>
          </cell>
          <cell r="I53">
            <v>-5954653</v>
          </cell>
          <cell r="J53">
            <v>-6434433</v>
          </cell>
          <cell r="K53">
            <v>-6888506</v>
          </cell>
          <cell r="L53">
            <v>-7363475</v>
          </cell>
          <cell r="M53">
            <v>-7919907</v>
          </cell>
          <cell r="N53">
            <v>-8601646</v>
          </cell>
          <cell r="O53">
            <v>-9706054</v>
          </cell>
          <cell r="P53">
            <v>-11053974</v>
          </cell>
          <cell r="T53">
            <v>50</v>
          </cell>
          <cell r="U53" t="str">
            <v>Less: ESNG to DE and MD</v>
          </cell>
          <cell r="W53"/>
          <cell r="X53">
            <v>-1460850</v>
          </cell>
          <cell r="Y53">
            <v>-2838622</v>
          </cell>
          <cell r="Z53">
            <v>-4157285</v>
          </cell>
          <cell r="AA53">
            <v>-4886957</v>
          </cell>
          <cell r="AB53">
            <v>-5408715</v>
          </cell>
          <cell r="AC53">
            <v>-5838482</v>
          </cell>
          <cell r="AD53">
            <v>-6271093</v>
          </cell>
          <cell r="AE53">
            <v>-6733784</v>
          </cell>
          <cell r="AF53">
            <v>-7281194</v>
          </cell>
          <cell r="AG53">
            <v>-7933887</v>
          </cell>
          <cell r="AH53">
            <v>-8971464</v>
          </cell>
          <cell r="AI53">
            <v>-10258084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3368771</v>
          </cell>
          <cell r="F54">
            <v>6560335</v>
          </cell>
          <cell r="G54">
            <v>9999303</v>
          </cell>
          <cell r="H54">
            <v>12286628</v>
          </cell>
          <cell r="I54">
            <v>14731423</v>
          </cell>
          <cell r="J54">
            <v>16881420</v>
          </cell>
          <cell r="K54">
            <v>19517610</v>
          </cell>
          <cell r="L54">
            <v>22080525</v>
          </cell>
          <cell r="M54">
            <v>24716793</v>
          </cell>
          <cell r="N54">
            <v>27347368</v>
          </cell>
          <cell r="O54">
            <v>30461060</v>
          </cell>
          <cell r="P54">
            <v>33663369</v>
          </cell>
          <cell r="T54">
            <v>51</v>
          </cell>
          <cell r="U54" t="str">
            <v>Total Deliveries</v>
          </cell>
          <cell r="V54"/>
          <cell r="W54"/>
          <cell r="X54">
            <v>2476184</v>
          </cell>
          <cell r="Y54">
            <v>4829393</v>
          </cell>
          <cell r="Z54">
            <v>7092953</v>
          </cell>
          <cell r="AA54">
            <v>8944520</v>
          </cell>
          <cell r="AB54">
            <v>11052010</v>
          </cell>
          <cell r="AC54">
            <v>13158633</v>
          </cell>
          <cell r="AD54">
            <v>15396210</v>
          </cell>
          <cell r="AE54">
            <v>17357552</v>
          </cell>
          <cell r="AF54">
            <v>18992471</v>
          </cell>
          <cell r="AG54">
            <v>20902468</v>
          </cell>
          <cell r="AH54">
            <v>23173827</v>
          </cell>
          <cell r="AI54">
            <v>25482048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5275533</v>
          </cell>
          <cell r="F58">
            <v>10103202</v>
          </cell>
          <cell r="G58">
            <v>15010476</v>
          </cell>
          <cell r="H58">
            <v>18202110</v>
          </cell>
          <cell r="I58">
            <v>21277487.20854</v>
          </cell>
          <cell r="J58">
            <v>23929901.637680002</v>
          </cell>
          <cell r="K58">
            <v>27015553.07863</v>
          </cell>
          <cell r="L58">
            <v>30137053.972630002</v>
          </cell>
          <cell r="M58">
            <v>33397395.171970002</v>
          </cell>
          <cell r="N58">
            <v>36798246.007990003</v>
          </cell>
          <cell r="O58">
            <v>41060233.72907</v>
          </cell>
          <cell r="P58">
            <v>45778652.940290004</v>
          </cell>
          <cell r="T58">
            <v>55</v>
          </cell>
          <cell r="U58" t="str">
            <v>Transportation firm</v>
          </cell>
          <cell r="W58"/>
          <cell r="X58">
            <v>3405571.5288400003</v>
          </cell>
          <cell r="Y58">
            <v>6733313.8392399997</v>
          </cell>
          <cell r="Z58">
            <v>10098277.6952</v>
          </cell>
          <cell r="AA58">
            <v>12487270.60832</v>
          </cell>
          <cell r="AB58">
            <v>14961827.97862</v>
          </cell>
          <cell r="AC58">
            <v>17391778.506020002</v>
          </cell>
          <cell r="AD58">
            <v>19945062.996260002</v>
          </cell>
          <cell r="AE58">
            <v>22360703.812940001</v>
          </cell>
          <cell r="AF58">
            <v>24621768.812180001</v>
          </cell>
          <cell r="AG58">
            <v>27230935.15258</v>
          </cell>
          <cell r="AH58">
            <v>30515486.62266</v>
          </cell>
          <cell r="AI58">
            <v>34185722.965110004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186339</v>
          </cell>
          <cell r="F59">
            <v>290392</v>
          </cell>
          <cell r="G59">
            <v>463242</v>
          </cell>
          <cell r="H59">
            <v>517052</v>
          </cell>
          <cell r="I59">
            <v>595444.82267000002</v>
          </cell>
          <cell r="J59">
            <v>729515.8049600001</v>
          </cell>
          <cell r="K59">
            <v>941329.49816000008</v>
          </cell>
          <cell r="L59">
            <v>1060035.6785600001</v>
          </cell>
          <cell r="M59">
            <v>1197429.6732200002</v>
          </cell>
          <cell r="N59">
            <v>1323729.5232400002</v>
          </cell>
          <cell r="O59">
            <v>1563466.8461600002</v>
          </cell>
          <cell r="P59">
            <v>1700460.4939700002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-1874636</v>
          </cell>
          <cell r="F60">
            <v>-3443567</v>
          </cell>
          <cell r="G60">
            <v>-4901392</v>
          </cell>
          <cell r="H60">
            <v>-5730391</v>
          </cell>
          <cell r="I60">
            <v>-6297836.8486599997</v>
          </cell>
          <cell r="J60">
            <v>-6806206.9388600001</v>
          </cell>
          <cell r="K60">
            <v>-7290725.5335100004</v>
          </cell>
          <cell r="L60">
            <v>-7797327.4689100003</v>
          </cell>
          <cell r="M60">
            <v>-8389493.5319500007</v>
          </cell>
          <cell r="N60">
            <v>-9115450.1234900001</v>
          </cell>
          <cell r="O60">
            <v>-10294118.517410001</v>
          </cell>
          <cell r="P60">
            <v>-11732443.511810001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3587236</v>
          </cell>
          <cell r="F61">
            <v>6950027</v>
          </cell>
          <cell r="G61">
            <v>10572326</v>
          </cell>
          <cell r="H61">
            <v>12988771</v>
          </cell>
          <cell r="I61">
            <v>15575095.182550002</v>
          </cell>
          <cell r="J61">
            <v>17853210.503780004</v>
          </cell>
          <cell r="K61">
            <v>20666157.043280002</v>
          </cell>
          <cell r="L61">
            <v>23399762.18228</v>
          </cell>
          <cell r="M61">
            <v>26205331.313240003</v>
          </cell>
          <cell r="N61">
            <v>29006525.407740004</v>
          </cell>
          <cell r="O61">
            <v>32329582.05782</v>
          </cell>
          <cell r="P61">
            <v>35746669.922450006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4039029</v>
          </cell>
          <cell r="F66">
            <v>7774429</v>
          </cell>
          <cell r="G66">
            <v>11719543</v>
          </cell>
          <cell r="H66">
            <v>14658047</v>
          </cell>
          <cell r="I66">
            <v>17454183</v>
          </cell>
          <cell r="J66">
            <v>20182118</v>
          </cell>
          <cell r="K66">
            <v>23799846</v>
          </cell>
          <cell r="L66">
            <v>27574476</v>
          </cell>
          <cell r="M66">
            <v>31038474</v>
          </cell>
          <cell r="N66">
            <v>34561414</v>
          </cell>
          <cell r="O66">
            <v>37437915</v>
          </cell>
          <cell r="P66">
            <v>40003791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-1478879</v>
          </cell>
          <cell r="F67">
            <v>-2737642</v>
          </cell>
          <cell r="G67">
            <v>-4070850</v>
          </cell>
          <cell r="H67">
            <v>-4787845</v>
          </cell>
          <cell r="I67">
            <v>-5321777</v>
          </cell>
          <cell r="J67">
            <v>-5757269</v>
          </cell>
          <cell r="K67">
            <v>-6747421</v>
          </cell>
          <cell r="L67">
            <v>-7997244</v>
          </cell>
          <cell r="M67">
            <v>-9137325</v>
          </cell>
          <cell r="N67">
            <v>-10286024</v>
          </cell>
          <cell r="O67">
            <v>-11003019</v>
          </cell>
          <cell r="P67">
            <v>-11634338</v>
          </cell>
        </row>
        <row r="68">
          <cell r="A68">
            <v>65</v>
          </cell>
          <cell r="D68"/>
          <cell r="E68">
            <v>2560150</v>
          </cell>
          <cell r="F68">
            <v>5036787</v>
          </cell>
          <cell r="G68">
            <v>7648693</v>
          </cell>
          <cell r="H68">
            <v>9870202</v>
          </cell>
          <cell r="I68">
            <v>12132406</v>
          </cell>
          <cell r="J68">
            <v>14424849</v>
          </cell>
          <cell r="K68">
            <v>17052425</v>
          </cell>
          <cell r="L68">
            <v>19577232</v>
          </cell>
          <cell r="M68">
            <v>21901149</v>
          </cell>
          <cell r="N68">
            <v>24275390</v>
          </cell>
          <cell r="O68">
            <v>26434896</v>
          </cell>
          <cell r="P68">
            <v>28369453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4180395.0149999997</v>
          </cell>
          <cell r="F70">
            <v>8046534.0149999987</v>
          </cell>
          <cell r="G70">
            <v>12129727.004999999</v>
          </cell>
          <cell r="H70">
            <v>15171078.645</v>
          </cell>
          <cell r="I70">
            <v>18065079.405000001</v>
          </cell>
          <cell r="J70">
            <v>20888492.130000003</v>
          </cell>
          <cell r="K70">
            <v>24632840.610000003</v>
          </cell>
          <cell r="L70">
            <v>28539582.660000004</v>
          </cell>
          <cell r="M70">
            <v>32124820.590000004</v>
          </cell>
          <cell r="N70">
            <v>35771063.490000002</v>
          </cell>
          <cell r="O70">
            <v>38748242.024999999</v>
          </cell>
          <cell r="P70">
            <v>41403923.684999995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-1530639.7649999999</v>
          </cell>
          <cell r="F71">
            <v>-2833459.4699999997</v>
          </cell>
          <cell r="G71">
            <v>-4213329.75</v>
          </cell>
          <cell r="H71">
            <v>-4955419.5750000002</v>
          </cell>
          <cell r="I71">
            <v>-5508039.1950000003</v>
          </cell>
          <cell r="J71">
            <v>-5958773.415</v>
          </cell>
          <cell r="K71">
            <v>-6983580.7350000003</v>
          </cell>
          <cell r="L71">
            <v>-8277147.54</v>
          </cell>
          <cell r="M71">
            <v>-9457131.375</v>
          </cell>
          <cell r="N71">
            <v>-10646034.84</v>
          </cell>
          <cell r="O71">
            <v>-11388124.664999999</v>
          </cell>
          <cell r="P71">
            <v>-12041539.829999998</v>
          </cell>
        </row>
        <row r="72">
          <cell r="D72"/>
          <cell r="E72">
            <v>2649755.25</v>
          </cell>
          <cell r="F72">
            <v>5213074.544999999</v>
          </cell>
          <cell r="G72">
            <v>7916397.254999999</v>
          </cell>
          <cell r="H72">
            <v>10215659.07</v>
          </cell>
          <cell r="I72">
            <v>12557040.210000001</v>
          </cell>
          <cell r="J72">
            <v>14929718.715000004</v>
          </cell>
          <cell r="K72">
            <v>17649259.875000004</v>
          </cell>
          <cell r="L72">
            <v>20262435.120000005</v>
          </cell>
          <cell r="M72">
            <v>22667689.215000004</v>
          </cell>
          <cell r="N72">
            <v>25125028.650000002</v>
          </cell>
          <cell r="O72">
            <v>27360117.359999999</v>
          </cell>
          <cell r="P72">
            <v>29362383.854999997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PESCO"/>
      <sheetName val="Floridapropane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7">
          <cell r="B7" t="str">
            <v>For the Twelve Months ended December 31, 2015 and 2014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2015 and 2014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2015</v>
          </cell>
          <cell r="J14" t="str">
            <v>Actual customers for the Month of January 2014</v>
          </cell>
          <cell r="K14" t="str">
            <v>Average customers for the One Month ended January 31, 2015</v>
          </cell>
          <cell r="L14" t="str">
            <v>Average customers for the One Month ended January 31, 2014</v>
          </cell>
          <cell r="M14" t="str">
            <v>Volume for the Month of January 2015</v>
          </cell>
          <cell r="N14" t="str">
            <v>Volume for the Month of January 2014</v>
          </cell>
          <cell r="O14" t="str">
            <v>Volume for the One Month ended January 31, 2015</v>
          </cell>
          <cell r="P14" t="str">
            <v>Volume for the One Month ended January 31, 2014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2015 and 2014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2015</v>
          </cell>
          <cell r="J15" t="str">
            <v>Actual customers for the Month of February 2014</v>
          </cell>
          <cell r="K15" t="str">
            <v>Average customers for the Two Months ended February 28, 2015</v>
          </cell>
          <cell r="L15" t="str">
            <v>Average customers for the Two Months ended February 28, 2014</v>
          </cell>
          <cell r="M15" t="str">
            <v>Volume for the Month of February 2015</v>
          </cell>
          <cell r="N15" t="str">
            <v>Volume for the Month of February 2014</v>
          </cell>
          <cell r="O15" t="str">
            <v>Volume for the Two Months ended February 28, 2015</v>
          </cell>
          <cell r="P15" t="str">
            <v>Volume for the Two Months ended February 28, 2014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2015 and 2014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2015</v>
          </cell>
          <cell r="J16" t="str">
            <v>Actual customers for the Month of March 2014</v>
          </cell>
          <cell r="K16" t="str">
            <v>Average customers for the Three Months ended March 31, 2015</v>
          </cell>
          <cell r="L16" t="str">
            <v>Average customers for the Three Months ended March 31, 2014</v>
          </cell>
          <cell r="M16" t="str">
            <v>Volume for the Month of March 2015</v>
          </cell>
          <cell r="N16" t="str">
            <v>Volume for the Month of March 2014</v>
          </cell>
          <cell r="O16" t="str">
            <v>Volume for the Three Months ended March 31, 2015</v>
          </cell>
          <cell r="P16" t="str">
            <v>Volume for the Three Months ended March 31, 2014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2015 and 2014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2015</v>
          </cell>
          <cell r="J17" t="str">
            <v>Actual customers for the Month of April 2014</v>
          </cell>
          <cell r="K17" t="str">
            <v>Average customers for the Four Months ended April 30, 2015</v>
          </cell>
          <cell r="L17" t="str">
            <v>Average customers for the Four Months ended April 30, 2014</v>
          </cell>
          <cell r="M17" t="str">
            <v>Volume for the Month of April 2015</v>
          </cell>
          <cell r="N17" t="str">
            <v>Volume for the Month of April 2014</v>
          </cell>
          <cell r="O17" t="str">
            <v>Volume for the Four Months ended April 30, 2015</v>
          </cell>
          <cell r="P17" t="str">
            <v>Volume for the Four Months ended April 30, 2014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2015 and 2014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2015</v>
          </cell>
          <cell r="J18" t="str">
            <v>Actual customers for the Month of May 2014</v>
          </cell>
          <cell r="K18" t="str">
            <v>Average customers for the Five Months ended May 31, 2015</v>
          </cell>
          <cell r="L18" t="str">
            <v>Average customers for the Five Months ended May 31, 2014</v>
          </cell>
          <cell r="M18" t="str">
            <v>Volume for the Month of May 2015</v>
          </cell>
          <cell r="N18" t="str">
            <v>Volume for the Month of May 2014</v>
          </cell>
          <cell r="O18" t="str">
            <v>Volume for the Five Months ended May 31, 2015</v>
          </cell>
          <cell r="P18" t="str">
            <v>Volume for the Five Months ended May 31, 2014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2015 and 2014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2015</v>
          </cell>
          <cell r="J19" t="str">
            <v>Actual customers for the Month of June 2014</v>
          </cell>
          <cell r="K19" t="str">
            <v>Average customers for the Six Months ended June 30, 2015</v>
          </cell>
          <cell r="L19" t="str">
            <v>Average customers for the Six Months ended June 30, 2014</v>
          </cell>
          <cell r="M19" t="str">
            <v>Volume for the Month of June 2015</v>
          </cell>
          <cell r="N19" t="str">
            <v>Volume for the Month of June 2014</v>
          </cell>
          <cell r="O19" t="str">
            <v>Volume for the Six Months ended June 30, 2015</v>
          </cell>
          <cell r="P19" t="str">
            <v>Volume for the Six Months ended June 30, 2014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2015 and 2014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2015</v>
          </cell>
          <cell r="J20" t="str">
            <v>Actual customers for the Month of July 2014</v>
          </cell>
          <cell r="K20" t="str">
            <v>Average customers for the Seven Months ended July 31, 2015</v>
          </cell>
          <cell r="L20" t="str">
            <v>Average customers for the Seven Months ended July 31, 2014</v>
          </cell>
          <cell r="M20" t="str">
            <v>Volume for the Month of July 2015</v>
          </cell>
          <cell r="N20" t="str">
            <v>Volume for the Month of July 2014</v>
          </cell>
          <cell r="O20" t="str">
            <v>Volume for the Seven Months ended July 31, 2015</v>
          </cell>
          <cell r="P20" t="str">
            <v>Volume for the Seven Months ended July 31, 2014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2015 and 2014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2015</v>
          </cell>
          <cell r="J21" t="str">
            <v>Actual customers for the Month of August 2014</v>
          </cell>
          <cell r="K21" t="str">
            <v>Average customers for the Eight Months ended August 31, 2015</v>
          </cell>
          <cell r="L21" t="str">
            <v>Average customers for the Eight Months ended August 31, 2014</v>
          </cell>
          <cell r="M21" t="str">
            <v>Volume for the Month of August 2015</v>
          </cell>
          <cell r="N21" t="str">
            <v>Volume for the Month of August 2014</v>
          </cell>
          <cell r="O21" t="str">
            <v>Volume for the Eight Months ended August 31, 2015</v>
          </cell>
          <cell r="P21" t="str">
            <v>Volume for the Eight Months ended August 31, 2014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2015 and 2014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2015</v>
          </cell>
          <cell r="J22" t="str">
            <v>Actual customers for the Month of September 2014</v>
          </cell>
          <cell r="K22" t="str">
            <v>Average customers for the Nine Months ended September 30, 2015</v>
          </cell>
          <cell r="L22" t="str">
            <v>Average customers for the Nine Months ended September 30, 2014</v>
          </cell>
          <cell r="M22" t="str">
            <v>Volume for the Month of September 2015</v>
          </cell>
          <cell r="N22" t="str">
            <v>Volume for the Month of September 2014</v>
          </cell>
          <cell r="O22" t="str">
            <v>Volume for the Nine Months ended September 30, 2015</v>
          </cell>
          <cell r="P22" t="str">
            <v>Volume for the Nine Months ended September 30, 2014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2015 and 2014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2015</v>
          </cell>
          <cell r="J23" t="str">
            <v>Actual customers for the Month of October 2014</v>
          </cell>
          <cell r="K23" t="str">
            <v>Average customers for the Ten Months ended October 31, 2015</v>
          </cell>
          <cell r="L23" t="str">
            <v>Average customers for the Ten Months ended October 31, 2014</v>
          </cell>
          <cell r="M23" t="str">
            <v>Volume for the Month of October 2015</v>
          </cell>
          <cell r="N23" t="str">
            <v>Volume for the Month of October 2014</v>
          </cell>
          <cell r="O23" t="str">
            <v>Volume for the Ten Months ended October 31, 2015</v>
          </cell>
          <cell r="P23" t="str">
            <v>Volume for the Ten Months ended October 31, 2014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2015 and 2014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2015</v>
          </cell>
          <cell r="J24" t="str">
            <v>Actual customers for the Month of November 2014</v>
          </cell>
          <cell r="K24" t="str">
            <v>Average customers for the Eleven Months ended November 30, 2015</v>
          </cell>
          <cell r="L24" t="str">
            <v>Average customers for the Eleven Months ended November 30, 2014</v>
          </cell>
          <cell r="M24" t="str">
            <v>Volume for the Month of November 2015</v>
          </cell>
          <cell r="N24" t="str">
            <v>Volume for the Month of November 2014</v>
          </cell>
          <cell r="O24" t="str">
            <v>Volume for the Eleven Months ended November 30, 2015</v>
          </cell>
          <cell r="P24" t="str">
            <v>Volume for the Eleven Months ended November 30, 2014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2015 and 2014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2015</v>
          </cell>
          <cell r="J25" t="str">
            <v>Actual customers for the Month of December 2014</v>
          </cell>
          <cell r="K25" t="str">
            <v>Average customers for the Twelve Months ended December 31, 2015</v>
          </cell>
          <cell r="L25" t="str">
            <v>Average customers for the Twelve Months ended December 31, 2014</v>
          </cell>
          <cell r="M25" t="str">
            <v>Volume for the Month of December 2015</v>
          </cell>
          <cell r="N25" t="str">
            <v>Volume for the Month of December 2014</v>
          </cell>
          <cell r="O25" t="str">
            <v>Volume for the Twelve Months ended December 31, 2015</v>
          </cell>
          <cell r="P25" t="str">
            <v>Volume for the Twelve Months ended December 31, 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43284.833333333336</v>
          </cell>
          <cell r="E5">
            <v>43161</v>
          </cell>
          <cell r="F5">
            <v>43342</v>
          </cell>
          <cell r="G5">
            <v>43453</v>
          </cell>
          <cell r="H5">
            <v>43386</v>
          </cell>
          <cell r="I5">
            <v>43045</v>
          </cell>
          <cell r="J5">
            <v>42691</v>
          </cell>
          <cell r="K5">
            <v>42650</v>
          </cell>
          <cell r="L5">
            <v>42689</v>
          </cell>
          <cell r="M5">
            <v>42997</v>
          </cell>
          <cell r="N5">
            <v>43349</v>
          </cell>
          <cell r="O5">
            <v>44105</v>
          </cell>
          <cell r="P5">
            <v>44550</v>
          </cell>
          <cell r="T5">
            <v>2</v>
          </cell>
          <cell r="U5" t="str">
            <v>Residential</v>
          </cell>
          <cell r="V5">
            <v>41465</v>
          </cell>
          <cell r="W5">
            <v>497584</v>
          </cell>
          <cell r="X5">
            <v>41387</v>
          </cell>
          <cell r="Y5">
            <v>41536</v>
          </cell>
          <cell r="Z5">
            <v>41693</v>
          </cell>
          <cell r="AA5">
            <v>41669</v>
          </cell>
          <cell r="AB5">
            <v>41119</v>
          </cell>
          <cell r="AC5">
            <v>41046</v>
          </cell>
          <cell r="AD5">
            <v>40859</v>
          </cell>
          <cell r="AE5">
            <v>40868</v>
          </cell>
          <cell r="AF5">
            <v>41106</v>
          </cell>
          <cell r="AG5">
            <v>41409</v>
          </cell>
          <cell r="AH5">
            <v>42091</v>
          </cell>
          <cell r="AI5">
            <v>42801</v>
          </cell>
        </row>
        <row r="6">
          <cell r="A6">
            <v>3</v>
          </cell>
          <cell r="B6" t="str">
            <v>Commercial</v>
          </cell>
          <cell r="C6"/>
          <cell r="D6">
            <v>3768.1666666666665</v>
          </cell>
          <cell r="E6">
            <v>3783</v>
          </cell>
          <cell r="F6">
            <v>3824</v>
          </cell>
          <cell r="G6">
            <v>3843</v>
          </cell>
          <cell r="H6">
            <v>3808</v>
          </cell>
          <cell r="I6">
            <v>3743</v>
          </cell>
          <cell r="J6">
            <v>3721</v>
          </cell>
          <cell r="K6">
            <v>3716</v>
          </cell>
          <cell r="L6">
            <v>3713</v>
          </cell>
          <cell r="M6">
            <v>3716</v>
          </cell>
          <cell r="N6">
            <v>3721</v>
          </cell>
          <cell r="O6">
            <v>3785</v>
          </cell>
          <cell r="P6">
            <v>3845</v>
          </cell>
          <cell r="T6">
            <v>3</v>
          </cell>
          <cell r="U6" t="str">
            <v>Commercial</v>
          </cell>
          <cell r="V6">
            <v>3663</v>
          </cell>
          <cell r="W6">
            <v>43958</v>
          </cell>
          <cell r="X6">
            <v>3693</v>
          </cell>
          <cell r="Y6">
            <v>3729</v>
          </cell>
          <cell r="Z6">
            <v>3736</v>
          </cell>
          <cell r="AA6">
            <v>3723</v>
          </cell>
          <cell r="AB6">
            <v>3659</v>
          </cell>
          <cell r="AC6">
            <v>3617</v>
          </cell>
          <cell r="AD6">
            <v>3602</v>
          </cell>
          <cell r="AE6">
            <v>3593</v>
          </cell>
          <cell r="AF6">
            <v>3589</v>
          </cell>
          <cell r="AG6">
            <v>3600</v>
          </cell>
          <cell r="AH6">
            <v>3660</v>
          </cell>
          <cell r="AI6">
            <v>3757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77.333333333333329</v>
          </cell>
          <cell r="E7">
            <v>75</v>
          </cell>
          <cell r="F7">
            <v>75</v>
          </cell>
          <cell r="G7">
            <v>75</v>
          </cell>
          <cell r="H7">
            <v>75</v>
          </cell>
          <cell r="I7">
            <v>76</v>
          </cell>
          <cell r="J7">
            <v>76</v>
          </cell>
          <cell r="K7">
            <v>76</v>
          </cell>
          <cell r="L7">
            <v>78</v>
          </cell>
          <cell r="M7">
            <v>80</v>
          </cell>
          <cell r="N7">
            <v>80</v>
          </cell>
          <cell r="O7">
            <v>82</v>
          </cell>
          <cell r="P7">
            <v>80</v>
          </cell>
          <cell r="T7">
            <v>4</v>
          </cell>
          <cell r="U7" t="str">
            <v xml:space="preserve">Industrial </v>
          </cell>
          <cell r="V7">
            <v>71</v>
          </cell>
          <cell r="W7">
            <v>849</v>
          </cell>
          <cell r="X7">
            <v>70</v>
          </cell>
          <cell r="Y7">
            <v>70</v>
          </cell>
          <cell r="Z7">
            <v>70</v>
          </cell>
          <cell r="AA7">
            <v>68</v>
          </cell>
          <cell r="AB7">
            <v>69</v>
          </cell>
          <cell r="AC7">
            <v>69</v>
          </cell>
          <cell r="AD7">
            <v>69</v>
          </cell>
          <cell r="AE7">
            <v>70</v>
          </cell>
          <cell r="AF7">
            <v>71</v>
          </cell>
          <cell r="AG7">
            <v>74</v>
          </cell>
          <cell r="AH7">
            <v>74</v>
          </cell>
          <cell r="AI7">
            <v>75</v>
          </cell>
        </row>
        <row r="8">
          <cell r="A8">
            <v>5</v>
          </cell>
          <cell r="B8" t="str">
            <v>Other</v>
          </cell>
          <cell r="C8"/>
          <cell r="D8">
            <v>4.916666666666667</v>
          </cell>
          <cell r="E8">
            <v>7</v>
          </cell>
          <cell r="F8">
            <v>6</v>
          </cell>
          <cell r="G8">
            <v>6</v>
          </cell>
          <cell r="H8">
            <v>5</v>
          </cell>
          <cell r="I8">
            <v>6</v>
          </cell>
          <cell r="J8">
            <v>6</v>
          </cell>
          <cell r="K8">
            <v>5</v>
          </cell>
          <cell r="L8">
            <v>3</v>
          </cell>
          <cell r="M8">
            <v>4</v>
          </cell>
          <cell r="N8">
            <v>3</v>
          </cell>
          <cell r="O8">
            <v>4</v>
          </cell>
          <cell r="P8">
            <v>4</v>
          </cell>
          <cell r="T8">
            <v>5</v>
          </cell>
          <cell r="U8" t="str">
            <v xml:space="preserve">Interruptible </v>
          </cell>
          <cell r="V8">
            <v>7</v>
          </cell>
          <cell r="W8">
            <v>85</v>
          </cell>
          <cell r="X8">
            <v>7</v>
          </cell>
          <cell r="Y8">
            <v>6</v>
          </cell>
          <cell r="Z8">
            <v>7</v>
          </cell>
          <cell r="AA8">
            <v>7</v>
          </cell>
          <cell r="AB8">
            <v>6</v>
          </cell>
          <cell r="AC8">
            <v>7</v>
          </cell>
          <cell r="AD8">
            <v>6</v>
          </cell>
          <cell r="AE8">
            <v>7</v>
          </cell>
          <cell r="AF8">
            <v>8</v>
          </cell>
          <cell r="AG8">
            <v>11</v>
          </cell>
          <cell r="AH8">
            <v>6</v>
          </cell>
          <cell r="AI8">
            <v>7</v>
          </cell>
        </row>
        <row r="9">
          <cell r="A9">
            <v>6</v>
          </cell>
          <cell r="B9" t="str">
            <v>Total customers</v>
          </cell>
          <cell r="C9"/>
          <cell r="D9">
            <v>47135.25</v>
          </cell>
          <cell r="E9">
            <v>47026</v>
          </cell>
          <cell r="F9">
            <v>47247</v>
          </cell>
          <cell r="G9">
            <v>47377</v>
          </cell>
          <cell r="H9">
            <v>47274</v>
          </cell>
          <cell r="I9">
            <v>46870</v>
          </cell>
          <cell r="J9">
            <v>46494</v>
          </cell>
          <cell r="K9">
            <v>46447</v>
          </cell>
          <cell r="L9">
            <v>46483</v>
          </cell>
          <cell r="M9">
            <v>46797</v>
          </cell>
          <cell r="N9">
            <v>47153</v>
          </cell>
          <cell r="O9">
            <v>47976</v>
          </cell>
          <cell r="P9">
            <v>48479</v>
          </cell>
          <cell r="T9">
            <v>6</v>
          </cell>
          <cell r="U9" t="str">
            <v>Total customers</v>
          </cell>
          <cell r="V9">
            <v>45206</v>
          </cell>
          <cell r="W9">
            <v>542476</v>
          </cell>
          <cell r="X9">
            <v>45157</v>
          </cell>
          <cell r="Y9">
            <v>45341</v>
          </cell>
          <cell r="Z9">
            <v>45506</v>
          </cell>
          <cell r="AA9">
            <v>45467</v>
          </cell>
          <cell r="AB9">
            <v>44853</v>
          </cell>
          <cell r="AC9">
            <v>44739</v>
          </cell>
          <cell r="AD9">
            <v>44536</v>
          </cell>
          <cell r="AE9">
            <v>44538</v>
          </cell>
          <cell r="AF9">
            <v>44774</v>
          </cell>
          <cell r="AG9">
            <v>45094</v>
          </cell>
          <cell r="AH9">
            <v>45831</v>
          </cell>
          <cell r="AI9">
            <v>46640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2689939</v>
          </cell>
          <cell r="E12">
            <v>509525</v>
          </cell>
          <cell r="F12">
            <v>609347</v>
          </cell>
          <cell r="G12">
            <v>562513</v>
          </cell>
          <cell r="H12">
            <v>280456</v>
          </cell>
          <cell r="I12">
            <v>105415</v>
          </cell>
          <cell r="J12">
            <v>49492</v>
          </cell>
          <cell r="K12">
            <v>43773</v>
          </cell>
          <cell r="L12">
            <v>40290</v>
          </cell>
          <cell r="M12">
            <v>39466</v>
          </cell>
          <cell r="N12">
            <v>71236</v>
          </cell>
          <cell r="O12">
            <v>132251</v>
          </cell>
          <cell r="P12">
            <v>246175</v>
          </cell>
          <cell r="T12">
            <v>9</v>
          </cell>
          <cell r="U12" t="str">
            <v>Residential</v>
          </cell>
          <cell r="W12">
            <v>2696882</v>
          </cell>
          <cell r="X12">
            <v>494520</v>
          </cell>
          <cell r="Y12">
            <v>583734</v>
          </cell>
          <cell r="Z12">
            <v>466076</v>
          </cell>
          <cell r="AA12">
            <v>276146</v>
          </cell>
          <cell r="AB12">
            <v>123421</v>
          </cell>
          <cell r="AC12">
            <v>48859</v>
          </cell>
          <cell r="AD12">
            <v>40996</v>
          </cell>
          <cell r="AE12">
            <v>39492</v>
          </cell>
          <cell r="AF12">
            <v>38628</v>
          </cell>
          <cell r="AG12">
            <v>54030</v>
          </cell>
          <cell r="AH12">
            <v>174063</v>
          </cell>
          <cell r="AI12">
            <v>356917</v>
          </cell>
        </row>
        <row r="13">
          <cell r="A13">
            <v>10</v>
          </cell>
          <cell r="B13" t="str">
            <v>Commercial</v>
          </cell>
          <cell r="D13">
            <v>2176818</v>
          </cell>
          <cell r="E13">
            <v>357360</v>
          </cell>
          <cell r="F13">
            <v>420991</v>
          </cell>
          <cell r="G13">
            <v>366653</v>
          </cell>
          <cell r="H13">
            <v>201717</v>
          </cell>
          <cell r="I13">
            <v>96219</v>
          </cell>
          <cell r="J13">
            <v>75936</v>
          </cell>
          <cell r="K13">
            <v>75151</v>
          </cell>
          <cell r="L13">
            <v>68957</v>
          </cell>
          <cell r="M13">
            <v>72299</v>
          </cell>
          <cell r="N13">
            <v>108548</v>
          </cell>
          <cell r="O13">
            <v>131520</v>
          </cell>
          <cell r="P13">
            <v>201467</v>
          </cell>
          <cell r="T13">
            <v>10</v>
          </cell>
          <cell r="U13" t="str">
            <v>Commercial</v>
          </cell>
          <cell r="W13">
            <v>2303858</v>
          </cell>
          <cell r="X13">
            <v>364839</v>
          </cell>
          <cell r="Y13">
            <v>384375</v>
          </cell>
          <cell r="Z13">
            <v>338945</v>
          </cell>
          <cell r="AA13">
            <v>205247</v>
          </cell>
          <cell r="AB13">
            <v>124355</v>
          </cell>
          <cell r="AC13">
            <v>83125</v>
          </cell>
          <cell r="AD13">
            <v>80726</v>
          </cell>
          <cell r="AE13">
            <v>73110</v>
          </cell>
          <cell r="AF13">
            <v>77144</v>
          </cell>
          <cell r="AG13">
            <v>103760</v>
          </cell>
          <cell r="AH13">
            <v>175527</v>
          </cell>
          <cell r="AI13">
            <v>292705</v>
          </cell>
        </row>
        <row r="14">
          <cell r="A14">
            <v>11</v>
          </cell>
          <cell r="B14" t="str">
            <v xml:space="preserve">Industrial </v>
          </cell>
          <cell r="D14">
            <v>2853266</v>
          </cell>
          <cell r="E14">
            <v>267966</v>
          </cell>
          <cell r="F14">
            <v>264042</v>
          </cell>
          <cell r="G14">
            <v>275156</v>
          </cell>
          <cell r="H14">
            <v>242770</v>
          </cell>
          <cell r="I14">
            <v>203506</v>
          </cell>
          <cell r="J14">
            <v>200999</v>
          </cell>
          <cell r="K14">
            <v>208039</v>
          </cell>
          <cell r="L14">
            <v>189039</v>
          </cell>
          <cell r="M14">
            <v>244437</v>
          </cell>
          <cell r="N14">
            <v>254497</v>
          </cell>
          <cell r="O14">
            <v>222524</v>
          </cell>
          <cell r="P14">
            <v>280291</v>
          </cell>
          <cell r="T14">
            <v>11</v>
          </cell>
          <cell r="U14" t="str">
            <v xml:space="preserve">Industrial </v>
          </cell>
          <cell r="W14">
            <v>2750438</v>
          </cell>
          <cell r="X14">
            <v>257076</v>
          </cell>
          <cell r="Y14">
            <v>254807</v>
          </cell>
          <cell r="Z14">
            <v>256571</v>
          </cell>
          <cell r="AA14">
            <v>229232</v>
          </cell>
          <cell r="AB14">
            <v>203768</v>
          </cell>
          <cell r="AC14">
            <v>186229</v>
          </cell>
          <cell r="AD14">
            <v>183807</v>
          </cell>
          <cell r="AE14">
            <v>180641</v>
          </cell>
          <cell r="AF14">
            <v>228270</v>
          </cell>
          <cell r="AG14">
            <v>264188</v>
          </cell>
          <cell r="AH14">
            <v>226615</v>
          </cell>
          <cell r="AI14">
            <v>279234</v>
          </cell>
        </row>
        <row r="15">
          <cell r="A15">
            <v>12</v>
          </cell>
          <cell r="B15" t="str">
            <v>Other</v>
          </cell>
          <cell r="D15">
            <v>78085</v>
          </cell>
          <cell r="E15">
            <v>3035</v>
          </cell>
          <cell r="F15">
            <v>2816</v>
          </cell>
          <cell r="G15">
            <v>3877</v>
          </cell>
          <cell r="H15">
            <v>4625</v>
          </cell>
          <cell r="I15">
            <v>3611</v>
          </cell>
          <cell r="J15">
            <v>8837</v>
          </cell>
          <cell r="K15">
            <v>7561</v>
          </cell>
          <cell r="L15">
            <v>11273</v>
          </cell>
          <cell r="M15">
            <v>8189</v>
          </cell>
          <cell r="N15">
            <v>11518</v>
          </cell>
          <cell r="O15">
            <v>6780</v>
          </cell>
          <cell r="P15">
            <v>5963</v>
          </cell>
          <cell r="T15">
            <v>12</v>
          </cell>
          <cell r="U15" t="str">
            <v xml:space="preserve">Interruptible </v>
          </cell>
          <cell r="W15">
            <v>70654</v>
          </cell>
          <cell r="X15">
            <v>1410</v>
          </cell>
          <cell r="Y15">
            <v>2320</v>
          </cell>
          <cell r="Z15">
            <v>2452</v>
          </cell>
          <cell r="AA15">
            <v>6250</v>
          </cell>
          <cell r="AB15">
            <v>3539</v>
          </cell>
          <cell r="AC15">
            <v>8661</v>
          </cell>
          <cell r="AD15">
            <v>9240</v>
          </cell>
          <cell r="AE15">
            <v>12010</v>
          </cell>
          <cell r="AF15">
            <v>7861</v>
          </cell>
          <cell r="AG15">
            <v>7872</v>
          </cell>
          <cell r="AH15">
            <v>4625</v>
          </cell>
          <cell r="AI15">
            <v>4414</v>
          </cell>
        </row>
        <row r="16">
          <cell r="A16">
            <v>13</v>
          </cell>
          <cell r="B16" t="str">
            <v>Total customers</v>
          </cell>
          <cell r="D16">
            <v>7798108</v>
          </cell>
          <cell r="E16">
            <v>1137886</v>
          </cell>
          <cell r="F16">
            <v>1297196</v>
          </cell>
          <cell r="G16">
            <v>1208199</v>
          </cell>
          <cell r="H16">
            <v>729568</v>
          </cell>
          <cell r="I16">
            <v>408751</v>
          </cell>
          <cell r="J16">
            <v>335264</v>
          </cell>
          <cell r="K16">
            <v>334524</v>
          </cell>
          <cell r="L16">
            <v>309559</v>
          </cell>
          <cell r="M16">
            <v>364391</v>
          </cell>
          <cell r="N16">
            <v>445799</v>
          </cell>
          <cell r="O16">
            <v>493075</v>
          </cell>
          <cell r="P16">
            <v>733896</v>
          </cell>
          <cell r="T16">
            <v>13</v>
          </cell>
          <cell r="U16" t="str">
            <v>Total Deliveries</v>
          </cell>
          <cell r="V16"/>
          <cell r="W16">
            <v>7821832</v>
          </cell>
          <cell r="X16">
            <v>1117845</v>
          </cell>
          <cell r="Y16">
            <v>1225236</v>
          </cell>
          <cell r="Z16">
            <v>1064044</v>
          </cell>
          <cell r="AA16">
            <v>716875</v>
          </cell>
          <cell r="AB16">
            <v>455083</v>
          </cell>
          <cell r="AC16">
            <v>326874</v>
          </cell>
          <cell r="AD16">
            <v>314769</v>
          </cell>
          <cell r="AE16">
            <v>305253</v>
          </cell>
          <cell r="AF16">
            <v>351903</v>
          </cell>
          <cell r="AG16">
            <v>429850</v>
          </cell>
          <cell r="AH16">
            <v>580830</v>
          </cell>
          <cell r="AI16">
            <v>933270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  <cell r="T18">
            <v>15</v>
          </cell>
          <cell r="X18">
            <v>1.0648500000000001</v>
          </cell>
          <cell r="Y18">
            <v>1.05365</v>
          </cell>
          <cell r="Z18">
            <v>1.05331</v>
          </cell>
          <cell r="AA18">
            <v>1.0564499999999999</v>
          </cell>
          <cell r="AB18">
            <v>1.05789</v>
          </cell>
          <cell r="AC18">
            <v>1.05959</v>
          </cell>
          <cell r="AD18">
            <v>1.0670500000000001</v>
          </cell>
          <cell r="AE18">
            <v>1.0666</v>
          </cell>
          <cell r="AF18">
            <v>1.0642199999999999</v>
          </cell>
          <cell r="AG18">
            <v>1.0648599999999999</v>
          </cell>
          <cell r="AH18">
            <v>1.06724</v>
          </cell>
          <cell r="AI18">
            <v>1.06707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2854245</v>
          </cell>
          <cell r="E21">
            <v>541039</v>
          </cell>
          <cell r="F21">
            <v>648595</v>
          </cell>
          <cell r="G21">
            <v>598272</v>
          </cell>
          <cell r="H21">
            <v>296846</v>
          </cell>
          <cell r="I21">
            <v>111622</v>
          </cell>
          <cell r="J21">
            <v>52611</v>
          </cell>
          <cell r="K21">
            <v>46328</v>
          </cell>
          <cell r="L21">
            <v>42568</v>
          </cell>
          <cell r="M21">
            <v>41639</v>
          </cell>
          <cell r="N21">
            <v>75477</v>
          </cell>
          <cell r="O21">
            <v>139464</v>
          </cell>
          <cell r="P21">
            <v>259784</v>
          </cell>
          <cell r="T21">
            <v>18</v>
          </cell>
          <cell r="U21" t="str">
            <v>Residential</v>
          </cell>
          <cell r="W21">
            <v>2857767</v>
          </cell>
          <cell r="X21">
            <v>526590</v>
          </cell>
          <cell r="Y21">
            <v>615051</v>
          </cell>
          <cell r="Z21">
            <v>490923</v>
          </cell>
          <cell r="AA21">
            <v>291734</v>
          </cell>
          <cell r="AB21">
            <v>130566</v>
          </cell>
          <cell r="AC21">
            <v>51771</v>
          </cell>
          <cell r="AD21">
            <v>43745</v>
          </cell>
          <cell r="AE21">
            <v>42122</v>
          </cell>
          <cell r="AF21">
            <v>41109</v>
          </cell>
          <cell r="AG21">
            <v>57534</v>
          </cell>
          <cell r="AH21">
            <v>185767</v>
          </cell>
          <cell r="AI21">
            <v>380855</v>
          </cell>
        </row>
        <row r="22">
          <cell r="A22">
            <v>19</v>
          </cell>
          <cell r="B22" t="str">
            <v>Commercial</v>
          </cell>
          <cell r="D22">
            <v>2308624</v>
          </cell>
          <cell r="E22">
            <v>379463</v>
          </cell>
          <cell r="F22">
            <v>448107</v>
          </cell>
          <cell r="G22">
            <v>389961</v>
          </cell>
          <cell r="H22">
            <v>213505</v>
          </cell>
          <cell r="I22">
            <v>101884</v>
          </cell>
          <cell r="J22">
            <v>80722</v>
          </cell>
          <cell r="K22">
            <v>79537</v>
          </cell>
          <cell r="L22">
            <v>72857</v>
          </cell>
          <cell r="M22">
            <v>76281</v>
          </cell>
          <cell r="N22">
            <v>115010</v>
          </cell>
          <cell r="O22">
            <v>138693</v>
          </cell>
          <cell r="P22">
            <v>212604</v>
          </cell>
          <cell r="T22">
            <v>19</v>
          </cell>
          <cell r="U22" t="str">
            <v>Commercial</v>
          </cell>
          <cell r="W22">
            <v>2443347</v>
          </cell>
          <cell r="X22">
            <v>388499</v>
          </cell>
          <cell r="Y22">
            <v>404997</v>
          </cell>
          <cell r="Z22">
            <v>357014</v>
          </cell>
          <cell r="AA22">
            <v>216833</v>
          </cell>
          <cell r="AB22">
            <v>131554</v>
          </cell>
          <cell r="AC22">
            <v>88078</v>
          </cell>
          <cell r="AD22">
            <v>86139</v>
          </cell>
          <cell r="AE22">
            <v>77979</v>
          </cell>
          <cell r="AF22">
            <v>82098</v>
          </cell>
          <cell r="AG22">
            <v>110490</v>
          </cell>
          <cell r="AH22">
            <v>187329</v>
          </cell>
          <cell r="AI22">
            <v>312337</v>
          </cell>
        </row>
        <row r="23">
          <cell r="A23">
            <v>20</v>
          </cell>
          <cell r="B23" t="str">
            <v xml:space="preserve">Industrial </v>
          </cell>
          <cell r="D23">
            <v>3022249</v>
          </cell>
          <cell r="E23">
            <v>284540</v>
          </cell>
          <cell r="F23">
            <v>281049</v>
          </cell>
          <cell r="G23">
            <v>292648</v>
          </cell>
          <cell r="H23">
            <v>256957</v>
          </cell>
          <cell r="I23">
            <v>215488</v>
          </cell>
          <cell r="J23">
            <v>213668</v>
          </cell>
          <cell r="K23">
            <v>220180</v>
          </cell>
          <cell r="L23">
            <v>199729</v>
          </cell>
          <cell r="M23">
            <v>257898</v>
          </cell>
          <cell r="N23">
            <v>269647</v>
          </cell>
          <cell r="O23">
            <v>234660</v>
          </cell>
          <cell r="P23">
            <v>295785</v>
          </cell>
          <cell r="T23">
            <v>20</v>
          </cell>
          <cell r="U23" t="str">
            <v xml:space="preserve">Industrial </v>
          </cell>
          <cell r="W23">
            <v>2920405</v>
          </cell>
          <cell r="X23">
            <v>273747</v>
          </cell>
          <cell r="Y23">
            <v>268477</v>
          </cell>
          <cell r="Z23">
            <v>270249</v>
          </cell>
          <cell r="AA23">
            <v>242172</v>
          </cell>
          <cell r="AB23">
            <v>215564</v>
          </cell>
          <cell r="AC23">
            <v>197326</v>
          </cell>
          <cell r="AD23">
            <v>196131</v>
          </cell>
          <cell r="AE23">
            <v>192672</v>
          </cell>
          <cell r="AF23">
            <v>242929</v>
          </cell>
          <cell r="AG23">
            <v>281323</v>
          </cell>
          <cell r="AH23">
            <v>241853</v>
          </cell>
          <cell r="AI23">
            <v>297962</v>
          </cell>
        </row>
        <row r="24">
          <cell r="A24">
            <v>21</v>
          </cell>
          <cell r="B24" t="str">
            <v>Other</v>
          </cell>
          <cell r="D24">
            <v>82655</v>
          </cell>
          <cell r="E24">
            <v>3223</v>
          </cell>
          <cell r="F24">
            <v>2997</v>
          </cell>
          <cell r="G24">
            <v>4123</v>
          </cell>
          <cell r="H24">
            <v>4895</v>
          </cell>
          <cell r="I24">
            <v>3824</v>
          </cell>
          <cell r="J24">
            <v>9394</v>
          </cell>
          <cell r="K24">
            <v>8002</v>
          </cell>
          <cell r="L24">
            <v>11910</v>
          </cell>
          <cell r="M24">
            <v>8640</v>
          </cell>
          <cell r="N24">
            <v>12204</v>
          </cell>
          <cell r="O24">
            <v>7150</v>
          </cell>
          <cell r="P24">
            <v>6293</v>
          </cell>
          <cell r="T24">
            <v>21</v>
          </cell>
          <cell r="U24" t="str">
            <v xml:space="preserve">Interruptible </v>
          </cell>
          <cell r="W24">
            <v>75117</v>
          </cell>
          <cell r="X24">
            <v>1501</v>
          </cell>
          <cell r="Y24">
            <v>2444</v>
          </cell>
          <cell r="Z24">
            <v>2583</v>
          </cell>
          <cell r="AA24">
            <v>6603</v>
          </cell>
          <cell r="AB24">
            <v>3744</v>
          </cell>
          <cell r="AC24">
            <v>9177</v>
          </cell>
          <cell r="AD24">
            <v>9860</v>
          </cell>
          <cell r="AE24">
            <v>12810</v>
          </cell>
          <cell r="AF24">
            <v>8366</v>
          </cell>
          <cell r="AG24">
            <v>8383</v>
          </cell>
          <cell r="AH24">
            <v>4936</v>
          </cell>
          <cell r="AI24">
            <v>4710</v>
          </cell>
        </row>
        <row r="25">
          <cell r="A25">
            <v>22</v>
          </cell>
          <cell r="B25" t="str">
            <v>Total Volume</v>
          </cell>
          <cell r="C25"/>
          <cell r="D25">
            <v>8267773</v>
          </cell>
          <cell r="E25">
            <v>1208265</v>
          </cell>
          <cell r="F25">
            <v>1380748</v>
          </cell>
          <cell r="G25">
            <v>1285004</v>
          </cell>
          <cell r="H25">
            <v>772203</v>
          </cell>
          <cell r="I25">
            <v>432818</v>
          </cell>
          <cell r="J25">
            <v>356395</v>
          </cell>
          <cell r="K25">
            <v>354047</v>
          </cell>
          <cell r="L25">
            <v>327064</v>
          </cell>
          <cell r="M25">
            <v>384458</v>
          </cell>
          <cell r="N25">
            <v>472338</v>
          </cell>
          <cell r="O25">
            <v>519967</v>
          </cell>
          <cell r="P25">
            <v>774466</v>
          </cell>
          <cell r="T25">
            <v>22</v>
          </cell>
          <cell r="U25" t="str">
            <v>Total Deliveries</v>
          </cell>
          <cell r="V25"/>
          <cell r="W25">
            <v>8296636</v>
          </cell>
          <cell r="X25">
            <v>1190337</v>
          </cell>
          <cell r="Y25">
            <v>1290969</v>
          </cell>
          <cell r="Z25">
            <v>1120769</v>
          </cell>
          <cell r="AA25">
            <v>757342</v>
          </cell>
          <cell r="AB25">
            <v>481428</v>
          </cell>
          <cell r="AC25">
            <v>346352</v>
          </cell>
          <cell r="AD25">
            <v>335875</v>
          </cell>
          <cell r="AE25">
            <v>325583</v>
          </cell>
          <cell r="AF25">
            <v>374502</v>
          </cell>
          <cell r="AG25">
            <v>457730</v>
          </cell>
          <cell r="AH25">
            <v>619885</v>
          </cell>
          <cell r="AI25">
            <v>995864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45746</v>
          </cell>
          <cell r="F28">
            <v>45893</v>
          </cell>
          <cell r="G28">
            <v>45942</v>
          </cell>
          <cell r="H28">
            <v>45880</v>
          </cell>
          <cell r="I28">
            <v>45658</v>
          </cell>
          <cell r="J28">
            <v>45676</v>
          </cell>
          <cell r="K28">
            <v>45800</v>
          </cell>
          <cell r="L28">
            <v>45794</v>
          </cell>
          <cell r="M28">
            <v>45868</v>
          </cell>
          <cell r="N28">
            <v>46594</v>
          </cell>
          <cell r="O28">
            <v>47075</v>
          </cell>
          <cell r="P28">
            <v>47510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1089682</v>
          </cell>
          <cell r="F29">
            <v>1120618</v>
          </cell>
          <cell r="G29">
            <v>994995</v>
          </cell>
          <cell r="H29">
            <v>736371</v>
          </cell>
          <cell r="I29">
            <v>494063</v>
          </cell>
          <cell r="J29">
            <v>365742</v>
          </cell>
          <cell r="K29">
            <v>349349</v>
          </cell>
          <cell r="L29">
            <v>359560</v>
          </cell>
          <cell r="M29">
            <v>392977</v>
          </cell>
          <cell r="N29">
            <v>446775</v>
          </cell>
          <cell r="O29">
            <v>574494</v>
          </cell>
          <cell r="P29">
            <v>997289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1127820.8699999999</v>
          </cell>
          <cell r="F30">
            <v>1159839.6299999999</v>
          </cell>
          <cell r="G30">
            <v>1029819.825</v>
          </cell>
          <cell r="H30">
            <v>762143.98499999999</v>
          </cell>
          <cell r="I30">
            <v>511355.20499999996</v>
          </cell>
          <cell r="J30">
            <v>378542.97</v>
          </cell>
          <cell r="K30">
            <v>361576.21499999997</v>
          </cell>
          <cell r="L30">
            <v>372144.6</v>
          </cell>
          <cell r="M30">
            <v>406731.19499999995</v>
          </cell>
          <cell r="N30">
            <v>462412.12499999994</v>
          </cell>
          <cell r="O30">
            <v>594601.28999999992</v>
          </cell>
          <cell r="P30">
            <v>1032194.1149999999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43161</v>
          </cell>
          <cell r="F34">
            <v>43252</v>
          </cell>
          <cell r="G34">
            <v>43319</v>
          </cell>
          <cell r="H34">
            <v>43336</v>
          </cell>
          <cell r="I34">
            <v>43277</v>
          </cell>
          <cell r="J34">
            <v>43180</v>
          </cell>
          <cell r="K34">
            <v>43104</v>
          </cell>
          <cell r="L34">
            <v>43052</v>
          </cell>
          <cell r="M34">
            <v>43046</v>
          </cell>
          <cell r="N34">
            <v>43076</v>
          </cell>
          <cell r="O34">
            <v>43170</v>
          </cell>
          <cell r="P34">
            <v>43285</v>
          </cell>
          <cell r="T34">
            <v>31</v>
          </cell>
          <cell r="U34" t="str">
            <v>Residential</v>
          </cell>
          <cell r="V34"/>
          <cell r="W34"/>
          <cell r="X34">
            <v>41387</v>
          </cell>
          <cell r="Y34">
            <v>41462</v>
          </cell>
          <cell r="Z34">
            <v>41539</v>
          </cell>
          <cell r="AA34">
            <v>41571</v>
          </cell>
          <cell r="AB34">
            <v>41481</v>
          </cell>
          <cell r="AC34">
            <v>41408</v>
          </cell>
          <cell r="AD34">
            <v>41330</v>
          </cell>
          <cell r="AE34">
            <v>41272</v>
          </cell>
          <cell r="AF34">
            <v>41254</v>
          </cell>
          <cell r="AG34">
            <v>41269</v>
          </cell>
          <cell r="AH34">
            <v>41344</v>
          </cell>
          <cell r="AI34">
            <v>41465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3783</v>
          </cell>
          <cell r="F35">
            <v>3804</v>
          </cell>
          <cell r="G35">
            <v>3817</v>
          </cell>
          <cell r="H35">
            <v>3815</v>
          </cell>
          <cell r="I35">
            <v>3800</v>
          </cell>
          <cell r="J35">
            <v>3787</v>
          </cell>
          <cell r="K35">
            <v>3777</v>
          </cell>
          <cell r="L35">
            <v>3769</v>
          </cell>
          <cell r="M35">
            <v>3763</v>
          </cell>
          <cell r="N35">
            <v>3759</v>
          </cell>
          <cell r="O35">
            <v>3761</v>
          </cell>
          <cell r="P35">
            <v>3768</v>
          </cell>
          <cell r="T35">
            <v>32</v>
          </cell>
          <cell r="U35" t="str">
            <v>Commercial</v>
          </cell>
          <cell r="V35"/>
          <cell r="W35"/>
          <cell r="X35">
            <v>3693</v>
          </cell>
          <cell r="Y35">
            <v>3711</v>
          </cell>
          <cell r="Z35">
            <v>3719</v>
          </cell>
          <cell r="AA35">
            <v>3720</v>
          </cell>
          <cell r="AB35">
            <v>3708</v>
          </cell>
          <cell r="AC35">
            <v>3693</v>
          </cell>
          <cell r="AD35">
            <v>3680</v>
          </cell>
          <cell r="AE35">
            <v>3669</v>
          </cell>
          <cell r="AF35">
            <v>3660</v>
          </cell>
          <cell r="AG35">
            <v>3654</v>
          </cell>
          <cell r="AH35">
            <v>3655</v>
          </cell>
          <cell r="AI35">
            <v>3663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75</v>
          </cell>
          <cell r="F36">
            <v>75</v>
          </cell>
          <cell r="G36">
            <v>75</v>
          </cell>
          <cell r="H36">
            <v>75</v>
          </cell>
          <cell r="I36">
            <v>75</v>
          </cell>
          <cell r="J36">
            <v>75</v>
          </cell>
          <cell r="K36">
            <v>75</v>
          </cell>
          <cell r="L36">
            <v>76</v>
          </cell>
          <cell r="M36">
            <v>76</v>
          </cell>
          <cell r="N36">
            <v>77</v>
          </cell>
          <cell r="O36">
            <v>77</v>
          </cell>
          <cell r="P36">
            <v>77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70</v>
          </cell>
          <cell r="Y36">
            <v>70</v>
          </cell>
          <cell r="Z36">
            <v>70</v>
          </cell>
          <cell r="AA36">
            <v>70</v>
          </cell>
          <cell r="AB36">
            <v>69</v>
          </cell>
          <cell r="AC36">
            <v>69</v>
          </cell>
          <cell r="AD36">
            <v>69</v>
          </cell>
          <cell r="AE36">
            <v>69</v>
          </cell>
          <cell r="AF36">
            <v>70</v>
          </cell>
          <cell r="AG36">
            <v>70</v>
          </cell>
          <cell r="AH36">
            <v>70</v>
          </cell>
          <cell r="AI36">
            <v>71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7</v>
          </cell>
          <cell r="F37">
            <v>7</v>
          </cell>
          <cell r="G37">
            <v>6</v>
          </cell>
          <cell r="H37">
            <v>6</v>
          </cell>
          <cell r="I37">
            <v>6</v>
          </cell>
          <cell r="J37">
            <v>6</v>
          </cell>
          <cell r="K37">
            <v>6</v>
          </cell>
          <cell r="L37">
            <v>6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V37"/>
          <cell r="W37"/>
          <cell r="X37">
            <v>7</v>
          </cell>
          <cell r="Y37">
            <v>7</v>
          </cell>
          <cell r="Z37">
            <v>7</v>
          </cell>
          <cell r="AA37">
            <v>7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7</v>
          </cell>
          <cell r="AH37">
            <v>7</v>
          </cell>
          <cell r="AI37">
            <v>7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47026</v>
          </cell>
          <cell r="F38">
            <v>47138</v>
          </cell>
          <cell r="G38">
            <v>47217</v>
          </cell>
          <cell r="H38">
            <v>47232</v>
          </cell>
          <cell r="I38">
            <v>47158</v>
          </cell>
          <cell r="J38">
            <v>47048</v>
          </cell>
          <cell r="K38">
            <v>46962</v>
          </cell>
          <cell r="L38">
            <v>46903</v>
          </cell>
          <cell r="M38">
            <v>46890</v>
          </cell>
          <cell r="N38">
            <v>46917</v>
          </cell>
          <cell r="O38">
            <v>47013</v>
          </cell>
          <cell r="P38">
            <v>47135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45157</v>
          </cell>
          <cell r="Y38">
            <v>45250</v>
          </cell>
          <cell r="Z38">
            <v>45335</v>
          </cell>
          <cell r="AA38">
            <v>45368</v>
          </cell>
          <cell r="AB38">
            <v>45265</v>
          </cell>
          <cell r="AC38">
            <v>45177</v>
          </cell>
          <cell r="AD38">
            <v>45086</v>
          </cell>
          <cell r="AE38">
            <v>45017</v>
          </cell>
          <cell r="AF38">
            <v>44991</v>
          </cell>
          <cell r="AG38">
            <v>45000</v>
          </cell>
          <cell r="AH38">
            <v>45076</v>
          </cell>
          <cell r="AI38">
            <v>45206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509525</v>
          </cell>
          <cell r="F41">
            <v>1118872</v>
          </cell>
          <cell r="G41">
            <v>1681385</v>
          </cell>
          <cell r="H41">
            <v>1961841</v>
          </cell>
          <cell r="I41">
            <v>2067256</v>
          </cell>
          <cell r="J41">
            <v>2116748</v>
          </cell>
          <cell r="K41">
            <v>2160521</v>
          </cell>
          <cell r="L41">
            <v>2200811</v>
          </cell>
          <cell r="M41">
            <v>2240277</v>
          </cell>
          <cell r="N41">
            <v>2311513</v>
          </cell>
          <cell r="O41">
            <v>2443764</v>
          </cell>
          <cell r="P41">
            <v>2689939</v>
          </cell>
          <cell r="T41">
            <v>38</v>
          </cell>
          <cell r="U41" t="str">
            <v>Residential</v>
          </cell>
          <cell r="W41"/>
          <cell r="X41">
            <v>494520</v>
          </cell>
          <cell r="Y41">
            <v>1078254</v>
          </cell>
          <cell r="Z41">
            <v>1544330</v>
          </cell>
          <cell r="AA41">
            <v>1820476</v>
          </cell>
          <cell r="AB41">
            <v>1943897</v>
          </cell>
          <cell r="AC41">
            <v>1992756</v>
          </cell>
          <cell r="AD41">
            <v>2033752</v>
          </cell>
          <cell r="AE41">
            <v>2073244</v>
          </cell>
          <cell r="AF41">
            <v>2111872</v>
          </cell>
          <cell r="AG41">
            <v>2165902</v>
          </cell>
          <cell r="AH41">
            <v>2339965</v>
          </cell>
          <cell r="AI41">
            <v>2696882</v>
          </cell>
        </row>
        <row r="42">
          <cell r="A42">
            <v>39</v>
          </cell>
          <cell r="B42" t="str">
            <v>Commercial</v>
          </cell>
          <cell r="D42"/>
          <cell r="E42">
            <v>357360</v>
          </cell>
          <cell r="F42">
            <v>778351</v>
          </cell>
          <cell r="G42">
            <v>1145004</v>
          </cell>
          <cell r="H42">
            <v>1346721</v>
          </cell>
          <cell r="I42">
            <v>1442940</v>
          </cell>
          <cell r="J42">
            <v>1518876</v>
          </cell>
          <cell r="K42">
            <v>1594027</v>
          </cell>
          <cell r="L42">
            <v>1662984</v>
          </cell>
          <cell r="M42">
            <v>1735283</v>
          </cell>
          <cell r="N42">
            <v>1843831</v>
          </cell>
          <cell r="O42">
            <v>1975351</v>
          </cell>
          <cell r="P42">
            <v>2176818</v>
          </cell>
          <cell r="T42">
            <v>39</v>
          </cell>
          <cell r="U42" t="str">
            <v>Commercial</v>
          </cell>
          <cell r="W42"/>
          <cell r="X42">
            <v>364839</v>
          </cell>
          <cell r="Y42">
            <v>749214</v>
          </cell>
          <cell r="Z42">
            <v>1088159</v>
          </cell>
          <cell r="AA42">
            <v>1293406</v>
          </cell>
          <cell r="AB42">
            <v>1417761</v>
          </cell>
          <cell r="AC42">
            <v>1500886</v>
          </cell>
          <cell r="AD42">
            <v>1581612</v>
          </cell>
          <cell r="AE42">
            <v>1654722</v>
          </cell>
          <cell r="AF42">
            <v>1731866</v>
          </cell>
          <cell r="AG42">
            <v>1835626</v>
          </cell>
          <cell r="AH42">
            <v>2011153</v>
          </cell>
          <cell r="AI42">
            <v>2303858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267966</v>
          </cell>
          <cell r="F43">
            <v>532008</v>
          </cell>
          <cell r="G43">
            <v>807164</v>
          </cell>
          <cell r="H43">
            <v>1049934</v>
          </cell>
          <cell r="I43">
            <v>1253440</v>
          </cell>
          <cell r="J43">
            <v>1454439</v>
          </cell>
          <cell r="K43">
            <v>1662478</v>
          </cell>
          <cell r="L43">
            <v>1851517</v>
          </cell>
          <cell r="M43">
            <v>2095954</v>
          </cell>
          <cell r="N43">
            <v>2350451</v>
          </cell>
          <cell r="O43">
            <v>2572975</v>
          </cell>
          <cell r="P43">
            <v>2853266</v>
          </cell>
          <cell r="T43">
            <v>40</v>
          </cell>
          <cell r="U43" t="str">
            <v xml:space="preserve">Industrial </v>
          </cell>
          <cell r="W43"/>
          <cell r="X43">
            <v>257076</v>
          </cell>
          <cell r="Y43">
            <v>511883</v>
          </cell>
          <cell r="Z43">
            <v>768454</v>
          </cell>
          <cell r="AA43">
            <v>997686</v>
          </cell>
          <cell r="AB43">
            <v>1201454</v>
          </cell>
          <cell r="AC43">
            <v>1387683</v>
          </cell>
          <cell r="AD43">
            <v>1571490</v>
          </cell>
          <cell r="AE43">
            <v>1752131</v>
          </cell>
          <cell r="AF43">
            <v>1980401</v>
          </cell>
          <cell r="AG43">
            <v>2244589</v>
          </cell>
          <cell r="AH43">
            <v>2471204</v>
          </cell>
          <cell r="AI43">
            <v>2750438</v>
          </cell>
        </row>
        <row r="44">
          <cell r="A44">
            <v>41</v>
          </cell>
          <cell r="B44" t="str">
            <v>Other</v>
          </cell>
          <cell r="D44"/>
          <cell r="E44">
            <v>3035</v>
          </cell>
          <cell r="F44">
            <v>5851</v>
          </cell>
          <cell r="G44">
            <v>9728</v>
          </cell>
          <cell r="H44">
            <v>14353</v>
          </cell>
          <cell r="I44">
            <v>17964</v>
          </cell>
          <cell r="J44">
            <v>26801</v>
          </cell>
          <cell r="K44">
            <v>34362</v>
          </cell>
          <cell r="L44">
            <v>45635</v>
          </cell>
          <cell r="M44">
            <v>53824</v>
          </cell>
          <cell r="N44">
            <v>65342</v>
          </cell>
          <cell r="O44">
            <v>72122</v>
          </cell>
          <cell r="P44">
            <v>78085</v>
          </cell>
          <cell r="T44">
            <v>41</v>
          </cell>
          <cell r="U44" t="str">
            <v>Other</v>
          </cell>
          <cell r="W44"/>
          <cell r="X44">
            <v>1410</v>
          </cell>
          <cell r="Y44">
            <v>3730</v>
          </cell>
          <cell r="Z44">
            <v>6182</v>
          </cell>
          <cell r="AA44">
            <v>12432</v>
          </cell>
          <cell r="AB44">
            <v>15971</v>
          </cell>
          <cell r="AC44">
            <v>24632</v>
          </cell>
          <cell r="AD44">
            <v>33872</v>
          </cell>
          <cell r="AE44">
            <v>45882</v>
          </cell>
          <cell r="AF44">
            <v>53743</v>
          </cell>
          <cell r="AG44">
            <v>61615</v>
          </cell>
          <cell r="AH44">
            <v>66240</v>
          </cell>
          <cell r="AI44">
            <v>70654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1137886</v>
          </cell>
          <cell r="F45">
            <v>2435082</v>
          </cell>
          <cell r="G45">
            <v>3643281</v>
          </cell>
          <cell r="H45">
            <v>4372849</v>
          </cell>
          <cell r="I45">
            <v>4781600</v>
          </cell>
          <cell r="J45">
            <v>5116864</v>
          </cell>
          <cell r="K45">
            <v>5451388</v>
          </cell>
          <cell r="L45">
            <v>5760947</v>
          </cell>
          <cell r="M45">
            <v>6125338</v>
          </cell>
          <cell r="N45">
            <v>6571137</v>
          </cell>
          <cell r="O45">
            <v>7064212</v>
          </cell>
          <cell r="P45">
            <v>7798108</v>
          </cell>
          <cell r="T45">
            <v>42</v>
          </cell>
          <cell r="U45" t="str">
            <v>Total customers</v>
          </cell>
          <cell r="V45"/>
          <cell r="W45"/>
          <cell r="X45">
            <v>1117845</v>
          </cell>
          <cell r="Y45">
            <v>2343081</v>
          </cell>
          <cell r="Z45">
            <v>3407125</v>
          </cell>
          <cell r="AA45">
            <v>4124000</v>
          </cell>
          <cell r="AB45">
            <v>4579083</v>
          </cell>
          <cell r="AC45">
            <v>4905957</v>
          </cell>
          <cell r="AD45">
            <v>5220726</v>
          </cell>
          <cell r="AE45">
            <v>5525979</v>
          </cell>
          <cell r="AF45">
            <v>5877882</v>
          </cell>
          <cell r="AG45">
            <v>6307732</v>
          </cell>
          <cell r="AH45">
            <v>6888562</v>
          </cell>
          <cell r="AI45">
            <v>7821832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V47"/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541039</v>
          </cell>
          <cell r="F48">
            <v>1189634</v>
          </cell>
          <cell r="G48">
            <v>1787906</v>
          </cell>
          <cell r="H48">
            <v>2084752</v>
          </cell>
          <cell r="I48">
            <v>2196374</v>
          </cell>
          <cell r="J48">
            <v>2248985</v>
          </cell>
          <cell r="K48">
            <v>2295313</v>
          </cell>
          <cell r="L48">
            <v>2337881</v>
          </cell>
          <cell r="M48">
            <v>2379520</v>
          </cell>
          <cell r="N48">
            <v>2454997</v>
          </cell>
          <cell r="O48">
            <v>2594461</v>
          </cell>
          <cell r="P48">
            <v>2854245</v>
          </cell>
          <cell r="T48">
            <v>45</v>
          </cell>
          <cell r="U48" t="str">
            <v>Residential</v>
          </cell>
          <cell r="W48"/>
          <cell r="X48">
            <v>526590</v>
          </cell>
          <cell r="Y48">
            <v>1141641</v>
          </cell>
          <cell r="Z48">
            <v>1632564</v>
          </cell>
          <cell r="AA48">
            <v>1924298</v>
          </cell>
          <cell r="AB48">
            <v>2054864</v>
          </cell>
          <cell r="AC48">
            <v>2106635</v>
          </cell>
          <cell r="AD48">
            <v>2150380</v>
          </cell>
          <cell r="AE48">
            <v>2192502</v>
          </cell>
          <cell r="AF48">
            <v>2233611</v>
          </cell>
          <cell r="AG48">
            <v>2291145</v>
          </cell>
          <cell r="AH48">
            <v>2476912</v>
          </cell>
          <cell r="AI48">
            <v>2857767</v>
          </cell>
        </row>
        <row r="49">
          <cell r="A49">
            <v>46</v>
          </cell>
          <cell r="B49" t="str">
            <v>Commercial</v>
          </cell>
          <cell r="D49"/>
          <cell r="E49">
            <v>379463</v>
          </cell>
          <cell r="F49">
            <v>827570</v>
          </cell>
          <cell r="G49">
            <v>1217531</v>
          </cell>
          <cell r="H49">
            <v>1431036</v>
          </cell>
          <cell r="I49">
            <v>1532920</v>
          </cell>
          <cell r="J49">
            <v>1613642</v>
          </cell>
          <cell r="K49">
            <v>1693179</v>
          </cell>
          <cell r="L49">
            <v>1766036</v>
          </cell>
          <cell r="M49">
            <v>1842317</v>
          </cell>
          <cell r="N49">
            <v>1957327</v>
          </cell>
          <cell r="O49">
            <v>2096020</v>
          </cell>
          <cell r="P49">
            <v>2308624</v>
          </cell>
          <cell r="T49">
            <v>46</v>
          </cell>
          <cell r="U49" t="str">
            <v>Commercial</v>
          </cell>
          <cell r="W49"/>
          <cell r="X49">
            <v>388499</v>
          </cell>
          <cell r="Y49">
            <v>793496</v>
          </cell>
          <cell r="Z49">
            <v>1150510</v>
          </cell>
          <cell r="AA49">
            <v>1367343</v>
          </cell>
          <cell r="AB49">
            <v>1498897</v>
          </cell>
          <cell r="AC49">
            <v>1586975</v>
          </cell>
          <cell r="AD49">
            <v>1673114</v>
          </cell>
          <cell r="AE49">
            <v>1751093</v>
          </cell>
          <cell r="AF49">
            <v>1833191</v>
          </cell>
          <cell r="AG49">
            <v>1943681</v>
          </cell>
          <cell r="AH49">
            <v>2131010</v>
          </cell>
          <cell r="AI49">
            <v>2443347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284540</v>
          </cell>
          <cell r="F50">
            <v>565589</v>
          </cell>
          <cell r="G50">
            <v>858237</v>
          </cell>
          <cell r="H50">
            <v>1115194</v>
          </cell>
          <cell r="I50">
            <v>1330682</v>
          </cell>
          <cell r="J50">
            <v>1544350</v>
          </cell>
          <cell r="K50">
            <v>1764530</v>
          </cell>
          <cell r="L50">
            <v>1964259</v>
          </cell>
          <cell r="M50">
            <v>2222157</v>
          </cell>
          <cell r="N50">
            <v>2491804</v>
          </cell>
          <cell r="O50">
            <v>2726464</v>
          </cell>
          <cell r="P50">
            <v>3022249</v>
          </cell>
          <cell r="T50">
            <v>47</v>
          </cell>
          <cell r="U50" t="str">
            <v xml:space="preserve">Industrial </v>
          </cell>
          <cell r="W50"/>
          <cell r="X50">
            <v>273747</v>
          </cell>
          <cell r="Y50">
            <v>542224</v>
          </cell>
          <cell r="Z50">
            <v>812473</v>
          </cell>
          <cell r="AA50">
            <v>1054645</v>
          </cell>
          <cell r="AB50">
            <v>1270209</v>
          </cell>
          <cell r="AC50">
            <v>1467535</v>
          </cell>
          <cell r="AD50">
            <v>1663666</v>
          </cell>
          <cell r="AE50">
            <v>1856338</v>
          </cell>
          <cell r="AF50">
            <v>2099267</v>
          </cell>
          <cell r="AG50">
            <v>2380590</v>
          </cell>
          <cell r="AH50">
            <v>2622443</v>
          </cell>
          <cell r="AI50">
            <v>2920405</v>
          </cell>
        </row>
        <row r="51">
          <cell r="A51">
            <v>48</v>
          </cell>
          <cell r="B51" t="str">
            <v>Other</v>
          </cell>
          <cell r="D51"/>
          <cell r="E51">
            <v>3223</v>
          </cell>
          <cell r="F51">
            <v>6220</v>
          </cell>
          <cell r="G51">
            <v>10343</v>
          </cell>
          <cell r="H51">
            <v>15238</v>
          </cell>
          <cell r="I51">
            <v>19062</v>
          </cell>
          <cell r="J51">
            <v>28456</v>
          </cell>
          <cell r="K51">
            <v>36458</v>
          </cell>
          <cell r="L51">
            <v>48368</v>
          </cell>
          <cell r="M51">
            <v>57008</v>
          </cell>
          <cell r="N51">
            <v>69212</v>
          </cell>
          <cell r="O51">
            <v>76362</v>
          </cell>
          <cell r="P51">
            <v>82655</v>
          </cell>
          <cell r="T51">
            <v>48</v>
          </cell>
          <cell r="U51" t="str">
            <v>Other</v>
          </cell>
          <cell r="W51"/>
          <cell r="X51">
            <v>1501</v>
          </cell>
          <cell r="Y51">
            <v>3945</v>
          </cell>
          <cell r="Z51">
            <v>6528</v>
          </cell>
          <cell r="AA51">
            <v>13131</v>
          </cell>
          <cell r="AB51">
            <v>16875</v>
          </cell>
          <cell r="AC51">
            <v>26052</v>
          </cell>
          <cell r="AD51">
            <v>35912</v>
          </cell>
          <cell r="AE51">
            <v>48722</v>
          </cell>
          <cell r="AF51">
            <v>57088</v>
          </cell>
          <cell r="AG51">
            <v>65471</v>
          </cell>
          <cell r="AH51">
            <v>70407</v>
          </cell>
          <cell r="AI51">
            <v>75117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1208265</v>
          </cell>
          <cell r="F52">
            <v>2589013</v>
          </cell>
          <cell r="G52">
            <v>3874017</v>
          </cell>
          <cell r="H52">
            <v>4646220</v>
          </cell>
          <cell r="I52">
            <v>5079038</v>
          </cell>
          <cell r="J52">
            <v>5435433</v>
          </cell>
          <cell r="K52">
            <v>5789480</v>
          </cell>
          <cell r="L52">
            <v>6116544</v>
          </cell>
          <cell r="M52">
            <v>6501002</v>
          </cell>
          <cell r="N52">
            <v>6973340</v>
          </cell>
          <cell r="O52">
            <v>7493307</v>
          </cell>
          <cell r="P52">
            <v>8267773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1190337</v>
          </cell>
          <cell r="Y52">
            <v>2481306</v>
          </cell>
          <cell r="Z52">
            <v>3602075</v>
          </cell>
          <cell r="AA52">
            <v>4359417</v>
          </cell>
          <cell r="AB52">
            <v>4840845</v>
          </cell>
          <cell r="AC52">
            <v>5187197</v>
          </cell>
          <cell r="AD52">
            <v>5523072</v>
          </cell>
          <cell r="AE52">
            <v>5848655</v>
          </cell>
          <cell r="AF52">
            <v>6223157</v>
          </cell>
          <cell r="AG52">
            <v>6680887</v>
          </cell>
          <cell r="AH52">
            <v>7300772</v>
          </cell>
          <cell r="AI52">
            <v>8296636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45746</v>
          </cell>
          <cell r="F55">
            <v>45820</v>
          </cell>
          <cell r="G55">
            <v>45860</v>
          </cell>
          <cell r="H55">
            <v>45865</v>
          </cell>
          <cell r="I55">
            <v>45824</v>
          </cell>
          <cell r="J55">
            <v>45799</v>
          </cell>
          <cell r="K55">
            <v>45799</v>
          </cell>
          <cell r="L55">
            <v>45799</v>
          </cell>
          <cell r="M55">
            <v>45806</v>
          </cell>
          <cell r="N55">
            <v>45885</v>
          </cell>
          <cell r="O55">
            <v>45993</v>
          </cell>
          <cell r="P55">
            <v>46120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1089682</v>
          </cell>
          <cell r="F56">
            <v>2210300</v>
          </cell>
          <cell r="G56">
            <v>3205295</v>
          </cell>
          <cell r="H56">
            <v>3941666</v>
          </cell>
          <cell r="I56">
            <v>4435729</v>
          </cell>
          <cell r="J56">
            <v>4801471</v>
          </cell>
          <cell r="K56">
            <v>5150820</v>
          </cell>
          <cell r="L56">
            <v>5510380</v>
          </cell>
          <cell r="M56">
            <v>5903357</v>
          </cell>
          <cell r="N56">
            <v>6350132</v>
          </cell>
          <cell r="O56">
            <v>6924626</v>
          </cell>
          <cell r="P56">
            <v>7921915</v>
          </cell>
        </row>
        <row r="57">
          <cell r="A57">
            <v>54</v>
          </cell>
          <cell r="B57" t="str">
            <v>Cumulative YTD Budget Volume (Dts) * 1.035</v>
          </cell>
          <cell r="E57">
            <v>1127820.8699999999</v>
          </cell>
          <cell r="F57">
            <v>2287660.5</v>
          </cell>
          <cell r="G57">
            <v>3317480.3250000002</v>
          </cell>
          <cell r="H57">
            <v>4079624.31</v>
          </cell>
          <cell r="I57">
            <v>4590979.5149999997</v>
          </cell>
          <cell r="J57">
            <v>4969522.4849999994</v>
          </cell>
          <cell r="K57">
            <v>5331098.6999999993</v>
          </cell>
          <cell r="L57">
            <v>5703243.2999999989</v>
          </cell>
          <cell r="M57">
            <v>6109974.4949999992</v>
          </cell>
          <cell r="N57">
            <v>6572386.6199999992</v>
          </cell>
          <cell r="O57">
            <v>7166987.9099999992</v>
          </cell>
          <cell r="P57">
            <v>8199182.0249999994</v>
          </cell>
        </row>
      </sheetData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10967.166666666666</v>
          </cell>
          <cell r="E5">
            <v>11265</v>
          </cell>
          <cell r="F5">
            <v>11343</v>
          </cell>
          <cell r="G5">
            <v>11374</v>
          </cell>
          <cell r="H5">
            <v>11276</v>
          </cell>
          <cell r="I5">
            <v>10955</v>
          </cell>
          <cell r="J5">
            <v>10729</v>
          </cell>
          <cell r="K5">
            <v>10634</v>
          </cell>
          <cell r="L5">
            <v>10607</v>
          </cell>
          <cell r="M5">
            <v>10637</v>
          </cell>
          <cell r="N5">
            <v>10711</v>
          </cell>
          <cell r="O5">
            <v>10957</v>
          </cell>
          <cell r="P5">
            <v>11118</v>
          </cell>
          <cell r="T5">
            <v>2</v>
          </cell>
          <cell r="U5" t="str">
            <v>Residential</v>
          </cell>
          <cell r="V5">
            <v>10933</v>
          </cell>
          <cell r="W5">
            <v>131199</v>
          </cell>
          <cell r="X5">
            <v>11220</v>
          </cell>
          <cell r="Y5">
            <v>11298</v>
          </cell>
          <cell r="Z5">
            <v>11331</v>
          </cell>
          <cell r="AA5">
            <v>11233</v>
          </cell>
          <cell r="AB5">
            <v>10980</v>
          </cell>
          <cell r="AC5">
            <v>10695</v>
          </cell>
          <cell r="AD5">
            <v>10609</v>
          </cell>
          <cell r="AE5">
            <v>10569</v>
          </cell>
          <cell r="AF5">
            <v>10609</v>
          </cell>
          <cell r="AG5">
            <v>10626</v>
          </cell>
          <cell r="AH5">
            <v>10844</v>
          </cell>
          <cell r="AI5">
            <v>11185</v>
          </cell>
        </row>
        <row r="6">
          <cell r="A6">
            <v>3</v>
          </cell>
          <cell r="B6" t="str">
            <v>Commercial</v>
          </cell>
          <cell r="C6"/>
          <cell r="D6">
            <v>1799.9166666666667</v>
          </cell>
          <cell r="E6">
            <v>1834</v>
          </cell>
          <cell r="F6">
            <v>1844</v>
          </cell>
          <cell r="G6">
            <v>1844</v>
          </cell>
          <cell r="H6">
            <v>1830</v>
          </cell>
          <cell r="I6">
            <v>1795</v>
          </cell>
          <cell r="J6">
            <v>1772</v>
          </cell>
          <cell r="K6">
            <v>1761</v>
          </cell>
          <cell r="L6">
            <v>1758</v>
          </cell>
          <cell r="M6">
            <v>1764</v>
          </cell>
          <cell r="N6">
            <v>1769</v>
          </cell>
          <cell r="O6">
            <v>1798</v>
          </cell>
          <cell r="P6">
            <v>1830</v>
          </cell>
          <cell r="T6">
            <v>3</v>
          </cell>
          <cell r="U6" t="str">
            <v>Commercial</v>
          </cell>
          <cell r="V6">
            <v>1786</v>
          </cell>
          <cell r="W6">
            <v>21435</v>
          </cell>
          <cell r="X6">
            <v>1818</v>
          </cell>
          <cell r="Y6">
            <v>1822</v>
          </cell>
          <cell r="Z6">
            <v>1823</v>
          </cell>
          <cell r="AA6">
            <v>1812</v>
          </cell>
          <cell r="AB6">
            <v>1789</v>
          </cell>
          <cell r="AC6">
            <v>1757</v>
          </cell>
          <cell r="AD6">
            <v>1753</v>
          </cell>
          <cell r="AE6">
            <v>1746</v>
          </cell>
          <cell r="AF6">
            <v>1747</v>
          </cell>
          <cell r="AG6">
            <v>1749</v>
          </cell>
          <cell r="AH6">
            <v>1787</v>
          </cell>
          <cell r="AI6">
            <v>1832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37.083333333333336</v>
          </cell>
          <cell r="E7">
            <v>37</v>
          </cell>
          <cell r="F7">
            <v>37</v>
          </cell>
          <cell r="G7">
            <v>37</v>
          </cell>
          <cell r="H7">
            <v>37</v>
          </cell>
          <cell r="I7">
            <v>37</v>
          </cell>
          <cell r="J7">
            <v>37</v>
          </cell>
          <cell r="K7">
            <v>37</v>
          </cell>
          <cell r="L7">
            <v>37</v>
          </cell>
          <cell r="M7">
            <v>37</v>
          </cell>
          <cell r="N7">
            <v>37</v>
          </cell>
          <cell r="O7">
            <v>37</v>
          </cell>
          <cell r="P7">
            <v>38</v>
          </cell>
          <cell r="T7">
            <v>4</v>
          </cell>
          <cell r="U7" t="str">
            <v xml:space="preserve">Industrial </v>
          </cell>
          <cell r="V7">
            <v>36</v>
          </cell>
          <cell r="W7">
            <v>427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37</v>
          </cell>
          <cell r="AG7">
            <v>37</v>
          </cell>
          <cell r="AH7">
            <v>37</v>
          </cell>
          <cell r="AI7">
            <v>36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/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12804.166666666666</v>
          </cell>
          <cell r="E9">
            <v>13136</v>
          </cell>
          <cell r="F9">
            <v>13224</v>
          </cell>
          <cell r="G9">
            <v>13255</v>
          </cell>
          <cell r="H9">
            <v>13143</v>
          </cell>
          <cell r="I9">
            <v>12787</v>
          </cell>
          <cell r="J9">
            <v>12538</v>
          </cell>
          <cell r="K9">
            <v>12432</v>
          </cell>
          <cell r="L9">
            <v>12402</v>
          </cell>
          <cell r="M9">
            <v>12438</v>
          </cell>
          <cell r="N9">
            <v>12517</v>
          </cell>
          <cell r="O9">
            <v>12792</v>
          </cell>
          <cell r="P9">
            <v>12986</v>
          </cell>
          <cell r="T9">
            <v>6</v>
          </cell>
          <cell r="U9" t="str">
            <v>Total customers</v>
          </cell>
          <cell r="V9">
            <v>12755</v>
          </cell>
          <cell r="W9">
            <v>153061</v>
          </cell>
          <cell r="X9">
            <v>13073</v>
          </cell>
          <cell r="Y9">
            <v>13155</v>
          </cell>
          <cell r="Z9">
            <v>13189</v>
          </cell>
          <cell r="AA9">
            <v>13080</v>
          </cell>
          <cell r="AB9">
            <v>12804</v>
          </cell>
          <cell r="AC9">
            <v>12487</v>
          </cell>
          <cell r="AD9">
            <v>12397</v>
          </cell>
          <cell r="AE9">
            <v>12350</v>
          </cell>
          <cell r="AF9">
            <v>12393</v>
          </cell>
          <cell r="AG9">
            <v>12412</v>
          </cell>
          <cell r="AH9">
            <v>12668</v>
          </cell>
          <cell r="AI9">
            <v>13053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- 2015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560347</v>
          </cell>
          <cell r="D12"/>
          <cell r="E12">
            <v>101939</v>
          </cell>
          <cell r="F12">
            <v>122779</v>
          </cell>
          <cell r="G12">
            <v>123834</v>
          </cell>
          <cell r="H12">
            <v>62557</v>
          </cell>
          <cell r="I12">
            <v>23816</v>
          </cell>
          <cell r="J12">
            <v>10926</v>
          </cell>
          <cell r="K12">
            <v>9217</v>
          </cell>
          <cell r="L12">
            <v>8543</v>
          </cell>
          <cell r="M12">
            <v>8551</v>
          </cell>
          <cell r="N12">
            <v>14099</v>
          </cell>
          <cell r="O12">
            <v>28654</v>
          </cell>
          <cell r="P12">
            <v>45432</v>
          </cell>
          <cell r="T12">
            <v>9</v>
          </cell>
          <cell r="U12" t="str">
            <v>Residential</v>
          </cell>
          <cell r="W12">
            <v>563905</v>
          </cell>
          <cell r="X12">
            <v>100180</v>
          </cell>
          <cell r="Y12">
            <v>127855</v>
          </cell>
          <cell r="Z12">
            <v>101744</v>
          </cell>
          <cell r="AA12">
            <v>57904</v>
          </cell>
          <cell r="AB12">
            <v>24576</v>
          </cell>
          <cell r="AC12">
            <v>11068</v>
          </cell>
          <cell r="AD12">
            <v>8949</v>
          </cell>
          <cell r="AE12">
            <v>8169</v>
          </cell>
          <cell r="AF12">
            <v>9583</v>
          </cell>
          <cell r="AG12">
            <v>11236</v>
          </cell>
          <cell r="AH12">
            <v>31544</v>
          </cell>
          <cell r="AI12">
            <v>71097</v>
          </cell>
        </row>
        <row r="13">
          <cell r="A13">
            <v>10</v>
          </cell>
          <cell r="B13" t="str">
            <v>Commercial</v>
          </cell>
          <cell r="C13">
            <v>861998</v>
          </cell>
          <cell r="D13"/>
          <cell r="E13">
            <v>130027</v>
          </cell>
          <cell r="F13">
            <v>154728</v>
          </cell>
          <cell r="G13">
            <v>140770</v>
          </cell>
          <cell r="H13">
            <v>85391</v>
          </cell>
          <cell r="I13">
            <v>45510</v>
          </cell>
          <cell r="J13">
            <v>33968</v>
          </cell>
          <cell r="K13">
            <v>32774</v>
          </cell>
          <cell r="L13">
            <v>30588</v>
          </cell>
          <cell r="M13">
            <v>33261</v>
          </cell>
          <cell r="N13">
            <v>47261</v>
          </cell>
          <cell r="O13">
            <v>53996</v>
          </cell>
          <cell r="P13">
            <v>73724</v>
          </cell>
          <cell r="T13">
            <v>10</v>
          </cell>
          <cell r="U13" t="str">
            <v>Commercial</v>
          </cell>
          <cell r="W13">
            <v>869825</v>
          </cell>
          <cell r="X13">
            <v>129500</v>
          </cell>
          <cell r="Y13">
            <v>144959</v>
          </cell>
          <cell r="Z13">
            <v>127695</v>
          </cell>
          <cell r="AA13">
            <v>78637</v>
          </cell>
          <cell r="AB13">
            <v>48575</v>
          </cell>
          <cell r="AC13">
            <v>34129</v>
          </cell>
          <cell r="AD13">
            <v>33106</v>
          </cell>
          <cell r="AE13">
            <v>30981</v>
          </cell>
          <cell r="AF13">
            <v>34964</v>
          </cell>
          <cell r="AG13">
            <v>42033</v>
          </cell>
          <cell r="AH13">
            <v>62710</v>
          </cell>
          <cell r="AI13">
            <v>102536</v>
          </cell>
        </row>
        <row r="14">
          <cell r="A14">
            <v>11</v>
          </cell>
          <cell r="B14" t="str">
            <v xml:space="preserve">Industrial </v>
          </cell>
          <cell r="C14">
            <v>1431238</v>
          </cell>
          <cell r="D14"/>
          <cell r="E14">
            <v>124081</v>
          </cell>
          <cell r="F14">
            <v>123031</v>
          </cell>
          <cell r="G14">
            <v>126676</v>
          </cell>
          <cell r="H14">
            <v>120032</v>
          </cell>
          <cell r="I14">
            <v>103514</v>
          </cell>
          <cell r="J14">
            <v>107589</v>
          </cell>
          <cell r="K14">
            <v>99065</v>
          </cell>
          <cell r="L14">
            <v>101942</v>
          </cell>
          <cell r="M14">
            <v>122856</v>
          </cell>
          <cell r="N14">
            <v>134763</v>
          </cell>
          <cell r="O14">
            <v>123983</v>
          </cell>
          <cell r="P14">
            <v>143706</v>
          </cell>
          <cell r="T14">
            <v>11</v>
          </cell>
          <cell r="U14" t="str">
            <v xml:space="preserve">Industrial </v>
          </cell>
          <cell r="W14">
            <v>1374405</v>
          </cell>
          <cell r="X14">
            <v>113534</v>
          </cell>
          <cell r="Y14">
            <v>116424</v>
          </cell>
          <cell r="Z14">
            <v>111908</v>
          </cell>
          <cell r="AA14">
            <v>107383</v>
          </cell>
          <cell r="AB14">
            <v>106482</v>
          </cell>
          <cell r="AC14">
            <v>95609</v>
          </cell>
          <cell r="AD14">
            <v>103661</v>
          </cell>
          <cell r="AE14">
            <v>95621</v>
          </cell>
          <cell r="AF14">
            <v>116124</v>
          </cell>
          <cell r="AG14">
            <v>136785</v>
          </cell>
          <cell r="AH14">
            <v>126559</v>
          </cell>
          <cell r="AI14">
            <v>144315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C16">
            <v>2853583</v>
          </cell>
          <cell r="D16"/>
          <cell r="E16">
            <v>356047</v>
          </cell>
          <cell r="F16">
            <v>400538</v>
          </cell>
          <cell r="G16">
            <v>391280</v>
          </cell>
          <cell r="H16">
            <v>267980</v>
          </cell>
          <cell r="I16">
            <v>172840</v>
          </cell>
          <cell r="J16">
            <v>152483</v>
          </cell>
          <cell r="K16">
            <v>141056</v>
          </cell>
          <cell r="L16">
            <v>141073</v>
          </cell>
          <cell r="M16">
            <v>164668</v>
          </cell>
          <cell r="N16">
            <v>196123</v>
          </cell>
          <cell r="O16">
            <v>206633</v>
          </cell>
          <cell r="P16">
            <v>262862</v>
          </cell>
          <cell r="T16">
            <v>13</v>
          </cell>
          <cell r="U16" t="str">
            <v>Total Deliveries</v>
          </cell>
          <cell r="V16"/>
          <cell r="W16">
            <v>2808135</v>
          </cell>
          <cell r="X16">
            <v>343214</v>
          </cell>
          <cell r="Y16">
            <v>389238</v>
          </cell>
          <cell r="Z16">
            <v>341347</v>
          </cell>
          <cell r="AA16">
            <v>243924</v>
          </cell>
          <cell r="AB16">
            <v>179633</v>
          </cell>
          <cell r="AC16">
            <v>140806</v>
          </cell>
          <cell r="AD16">
            <v>145716</v>
          </cell>
          <cell r="AE16">
            <v>134771</v>
          </cell>
          <cell r="AF16">
            <v>160671</v>
          </cell>
          <cell r="AG16">
            <v>190054</v>
          </cell>
          <cell r="AH16">
            <v>220813</v>
          </cell>
          <cell r="AI16">
            <v>317948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  <cell r="T18">
            <v>15</v>
          </cell>
          <cell r="X18">
            <v>1.0648500000000001</v>
          </cell>
          <cell r="Y18">
            <v>1.05365</v>
          </cell>
          <cell r="Z18">
            <v>1.05331</v>
          </cell>
          <cell r="AA18">
            <v>1.0564499999999999</v>
          </cell>
          <cell r="AB18">
            <v>1.05789</v>
          </cell>
          <cell r="AC18">
            <v>1.05959</v>
          </cell>
          <cell r="AD18">
            <v>1.0670500000000001</v>
          </cell>
          <cell r="AE18">
            <v>1.0666</v>
          </cell>
          <cell r="AF18">
            <v>1.0642199999999999</v>
          </cell>
          <cell r="AG18">
            <v>1.0648599999999999</v>
          </cell>
          <cell r="AH18">
            <v>1.06724</v>
          </cell>
          <cell r="AI18">
            <v>1.06707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594584</v>
          </cell>
          <cell r="E21">
            <v>108244</v>
          </cell>
          <cell r="F21">
            <v>130687</v>
          </cell>
          <cell r="G21">
            <v>131706</v>
          </cell>
          <cell r="H21">
            <v>66213</v>
          </cell>
          <cell r="I21">
            <v>25218</v>
          </cell>
          <cell r="J21">
            <v>11615</v>
          </cell>
          <cell r="K21">
            <v>9755</v>
          </cell>
          <cell r="L21">
            <v>9026</v>
          </cell>
          <cell r="M21">
            <v>9022</v>
          </cell>
          <cell r="N21">
            <v>14938</v>
          </cell>
          <cell r="O21">
            <v>30217</v>
          </cell>
          <cell r="P21">
            <v>47943</v>
          </cell>
          <cell r="T21">
            <v>18</v>
          </cell>
          <cell r="U21" t="str">
            <v>Residential</v>
          </cell>
          <cell r="W21">
            <v>597414</v>
          </cell>
          <cell r="X21">
            <v>106677</v>
          </cell>
          <cell r="Y21">
            <v>134714</v>
          </cell>
          <cell r="Z21">
            <v>107168</v>
          </cell>
          <cell r="AA21">
            <v>61173</v>
          </cell>
          <cell r="AB21">
            <v>25999</v>
          </cell>
          <cell r="AC21">
            <v>11728</v>
          </cell>
          <cell r="AD21">
            <v>9549</v>
          </cell>
          <cell r="AE21">
            <v>8713</v>
          </cell>
          <cell r="AF21">
            <v>10198</v>
          </cell>
          <cell r="AG21">
            <v>11965</v>
          </cell>
          <cell r="AH21">
            <v>33665</v>
          </cell>
          <cell r="AI21">
            <v>75865</v>
          </cell>
        </row>
        <row r="22">
          <cell r="A22">
            <v>19</v>
          </cell>
          <cell r="B22" t="str">
            <v>Commercial</v>
          </cell>
          <cell r="D22">
            <v>914074</v>
          </cell>
          <cell r="E22">
            <v>138069</v>
          </cell>
          <cell r="F22">
            <v>164694</v>
          </cell>
          <cell r="G22">
            <v>149719</v>
          </cell>
          <cell r="H22">
            <v>90381</v>
          </cell>
          <cell r="I22">
            <v>48190</v>
          </cell>
          <cell r="J22">
            <v>36109</v>
          </cell>
          <cell r="K22">
            <v>34687</v>
          </cell>
          <cell r="L22">
            <v>32318</v>
          </cell>
          <cell r="M22">
            <v>35093</v>
          </cell>
          <cell r="N22">
            <v>50074</v>
          </cell>
          <cell r="O22">
            <v>56941</v>
          </cell>
          <cell r="P22">
            <v>77799</v>
          </cell>
          <cell r="T22">
            <v>19</v>
          </cell>
          <cell r="U22" t="str">
            <v>Commercial</v>
          </cell>
          <cell r="W22">
            <v>922440</v>
          </cell>
          <cell r="X22">
            <v>137898</v>
          </cell>
          <cell r="Y22">
            <v>152736</v>
          </cell>
          <cell r="Z22">
            <v>134502</v>
          </cell>
          <cell r="AA22">
            <v>83076</v>
          </cell>
          <cell r="AB22">
            <v>51387</v>
          </cell>
          <cell r="AC22">
            <v>36163</v>
          </cell>
          <cell r="AD22">
            <v>35326</v>
          </cell>
          <cell r="AE22">
            <v>33044</v>
          </cell>
          <cell r="AF22">
            <v>37209</v>
          </cell>
          <cell r="AG22">
            <v>44759</v>
          </cell>
          <cell r="AH22">
            <v>66927</v>
          </cell>
          <cell r="AI22">
            <v>109413</v>
          </cell>
        </row>
        <row r="23">
          <cell r="A23">
            <v>20</v>
          </cell>
          <cell r="B23" t="str">
            <v xml:space="preserve">Industrial </v>
          </cell>
          <cell r="D23">
            <v>1515820</v>
          </cell>
          <cell r="E23">
            <v>131755</v>
          </cell>
          <cell r="F23">
            <v>130955</v>
          </cell>
          <cell r="G23">
            <v>134729</v>
          </cell>
          <cell r="H23">
            <v>127047</v>
          </cell>
          <cell r="I23">
            <v>109609</v>
          </cell>
          <cell r="J23">
            <v>114370</v>
          </cell>
          <cell r="K23">
            <v>104846</v>
          </cell>
          <cell r="L23">
            <v>107707</v>
          </cell>
          <cell r="M23">
            <v>129622</v>
          </cell>
          <cell r="N23">
            <v>142785</v>
          </cell>
          <cell r="O23">
            <v>130745</v>
          </cell>
          <cell r="P23">
            <v>151650</v>
          </cell>
          <cell r="T23">
            <v>20</v>
          </cell>
          <cell r="U23" t="str">
            <v xml:space="preserve">Industrial </v>
          </cell>
          <cell r="W23">
            <v>1459739</v>
          </cell>
          <cell r="X23">
            <v>120897</v>
          </cell>
          <cell r="Y23">
            <v>122670</v>
          </cell>
          <cell r="Z23">
            <v>117874</v>
          </cell>
          <cell r="AA23">
            <v>113445</v>
          </cell>
          <cell r="AB23">
            <v>112646</v>
          </cell>
          <cell r="AC23">
            <v>101306</v>
          </cell>
          <cell r="AD23">
            <v>110611</v>
          </cell>
          <cell r="AE23">
            <v>101989</v>
          </cell>
          <cell r="AF23">
            <v>123581</v>
          </cell>
          <cell r="AG23">
            <v>145657</v>
          </cell>
          <cell r="AH23">
            <v>135069</v>
          </cell>
          <cell r="AI23">
            <v>153994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3024478</v>
          </cell>
          <cell r="E25">
            <v>378068</v>
          </cell>
          <cell r="F25">
            <v>426336</v>
          </cell>
          <cell r="G25">
            <v>416154</v>
          </cell>
          <cell r="H25">
            <v>283641</v>
          </cell>
          <cell r="I25">
            <v>183017</v>
          </cell>
          <cell r="J25">
            <v>162094</v>
          </cell>
          <cell r="K25">
            <v>149288</v>
          </cell>
          <cell r="L25">
            <v>149051</v>
          </cell>
          <cell r="M25">
            <v>173737</v>
          </cell>
          <cell r="N25">
            <v>207797</v>
          </cell>
          <cell r="O25">
            <v>217903</v>
          </cell>
          <cell r="P25">
            <v>277392</v>
          </cell>
          <cell r="T25">
            <v>22</v>
          </cell>
          <cell r="U25" t="str">
            <v>Total Deliveries</v>
          </cell>
          <cell r="V25"/>
          <cell r="W25">
            <v>2979593</v>
          </cell>
          <cell r="X25">
            <v>365472</v>
          </cell>
          <cell r="Y25">
            <v>410120</v>
          </cell>
          <cell r="Z25">
            <v>359544</v>
          </cell>
          <cell r="AA25">
            <v>257694</v>
          </cell>
          <cell r="AB25">
            <v>190032</v>
          </cell>
          <cell r="AC25">
            <v>149197</v>
          </cell>
          <cell r="AD25">
            <v>155486</v>
          </cell>
          <cell r="AE25">
            <v>143746</v>
          </cell>
          <cell r="AF25">
            <v>170988</v>
          </cell>
          <cell r="AG25">
            <v>202381</v>
          </cell>
          <cell r="AH25">
            <v>235661</v>
          </cell>
          <cell r="AI25">
            <v>339272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13171</v>
          </cell>
          <cell r="F28">
            <v>13255</v>
          </cell>
          <cell r="G28">
            <v>13257</v>
          </cell>
          <cell r="H28">
            <v>13271</v>
          </cell>
          <cell r="I28">
            <v>13121</v>
          </cell>
          <cell r="J28">
            <v>12723</v>
          </cell>
          <cell r="K28">
            <v>12650</v>
          </cell>
          <cell r="L28">
            <v>12709</v>
          </cell>
          <cell r="M28">
            <v>12822</v>
          </cell>
          <cell r="N28">
            <v>12978</v>
          </cell>
          <cell r="O28">
            <v>13361</v>
          </cell>
          <cell r="P28">
            <v>13788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337273</v>
          </cell>
          <cell r="F29">
            <v>360765</v>
          </cell>
          <cell r="G29">
            <v>322247</v>
          </cell>
          <cell r="H29">
            <v>241913</v>
          </cell>
          <cell r="I29">
            <v>182375</v>
          </cell>
          <cell r="J29">
            <v>145142</v>
          </cell>
          <cell r="K29">
            <v>136701</v>
          </cell>
          <cell r="L29">
            <v>145070</v>
          </cell>
          <cell r="M29">
            <v>157028</v>
          </cell>
          <cell r="N29">
            <v>189371</v>
          </cell>
          <cell r="O29">
            <v>216525</v>
          </cell>
          <cell r="P29">
            <v>312392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349077.55499999999</v>
          </cell>
          <cell r="F30">
            <v>373391.77499999997</v>
          </cell>
          <cell r="G30">
            <v>333525.64499999996</v>
          </cell>
          <cell r="H30">
            <v>250379.95499999999</v>
          </cell>
          <cell r="I30">
            <v>188758.12499999997</v>
          </cell>
          <cell r="J30">
            <v>150221.97</v>
          </cell>
          <cell r="K30">
            <v>141485.535</v>
          </cell>
          <cell r="L30">
            <v>150147.44999999998</v>
          </cell>
          <cell r="M30">
            <v>162523.97999999998</v>
          </cell>
          <cell r="N30">
            <v>195998.98499999999</v>
          </cell>
          <cell r="O30">
            <v>224103.37499999997</v>
          </cell>
          <cell r="P30">
            <v>323325.71999999997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11265</v>
          </cell>
          <cell r="F34">
            <v>11304</v>
          </cell>
          <cell r="G34">
            <v>11327</v>
          </cell>
          <cell r="H34">
            <v>11315</v>
          </cell>
          <cell r="I34">
            <v>11243</v>
          </cell>
          <cell r="J34">
            <v>11157</v>
          </cell>
          <cell r="K34">
            <v>11082</v>
          </cell>
          <cell r="L34">
            <v>11023</v>
          </cell>
          <cell r="M34">
            <v>10980</v>
          </cell>
          <cell r="N34">
            <v>10953</v>
          </cell>
          <cell r="O34">
            <v>10953</v>
          </cell>
          <cell r="P34">
            <v>10967</v>
          </cell>
          <cell r="T34">
            <v>31</v>
          </cell>
          <cell r="U34" t="str">
            <v>Residential</v>
          </cell>
          <cell r="V34"/>
          <cell r="W34"/>
          <cell r="X34">
            <v>11220</v>
          </cell>
          <cell r="Y34">
            <v>11259</v>
          </cell>
          <cell r="Z34">
            <v>11283</v>
          </cell>
          <cell r="AA34">
            <v>11271</v>
          </cell>
          <cell r="AB34">
            <v>11212</v>
          </cell>
          <cell r="AC34">
            <v>11126</v>
          </cell>
          <cell r="AD34">
            <v>11052</v>
          </cell>
          <cell r="AE34">
            <v>10992</v>
          </cell>
          <cell r="AF34">
            <v>10949</v>
          </cell>
          <cell r="AG34">
            <v>10917</v>
          </cell>
          <cell r="AH34">
            <v>10910</v>
          </cell>
          <cell r="AI34">
            <v>10933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1834</v>
          </cell>
          <cell r="F35">
            <v>1839</v>
          </cell>
          <cell r="G35">
            <v>1841</v>
          </cell>
          <cell r="H35">
            <v>1838</v>
          </cell>
          <cell r="I35">
            <v>1829</v>
          </cell>
          <cell r="J35">
            <v>1820</v>
          </cell>
          <cell r="K35">
            <v>1811</v>
          </cell>
          <cell r="L35">
            <v>1805</v>
          </cell>
          <cell r="M35">
            <v>1800</v>
          </cell>
          <cell r="N35">
            <v>1797</v>
          </cell>
          <cell r="O35">
            <v>1797</v>
          </cell>
          <cell r="P35">
            <v>1800</v>
          </cell>
          <cell r="T35">
            <v>32</v>
          </cell>
          <cell r="U35" t="str">
            <v>Commercial</v>
          </cell>
          <cell r="V35"/>
          <cell r="W35"/>
          <cell r="X35">
            <v>1818</v>
          </cell>
          <cell r="Y35">
            <v>1820</v>
          </cell>
          <cell r="Z35">
            <v>1821</v>
          </cell>
          <cell r="AA35">
            <v>1819</v>
          </cell>
          <cell r="AB35">
            <v>1813</v>
          </cell>
          <cell r="AC35">
            <v>1804</v>
          </cell>
          <cell r="AD35">
            <v>1796</v>
          </cell>
          <cell r="AE35">
            <v>1790</v>
          </cell>
          <cell r="AF35">
            <v>1785</v>
          </cell>
          <cell r="AG35">
            <v>1782</v>
          </cell>
          <cell r="AH35">
            <v>1782</v>
          </cell>
          <cell r="AI35">
            <v>1786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37</v>
          </cell>
          <cell r="F36">
            <v>37</v>
          </cell>
          <cell r="G36">
            <v>37</v>
          </cell>
          <cell r="H36">
            <v>37</v>
          </cell>
          <cell r="I36">
            <v>37</v>
          </cell>
          <cell r="J36">
            <v>37</v>
          </cell>
          <cell r="K36">
            <v>37</v>
          </cell>
          <cell r="L36">
            <v>37</v>
          </cell>
          <cell r="M36">
            <v>37</v>
          </cell>
          <cell r="N36">
            <v>37</v>
          </cell>
          <cell r="O36">
            <v>37</v>
          </cell>
          <cell r="P36">
            <v>37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35</v>
          </cell>
          <cell r="Y36">
            <v>35</v>
          </cell>
          <cell r="Z36">
            <v>35</v>
          </cell>
          <cell r="AA36">
            <v>35</v>
          </cell>
          <cell r="AB36">
            <v>35</v>
          </cell>
          <cell r="AC36">
            <v>35</v>
          </cell>
          <cell r="AD36">
            <v>35</v>
          </cell>
          <cell r="AE36">
            <v>35</v>
          </cell>
          <cell r="AF36">
            <v>35</v>
          </cell>
          <cell r="AG36">
            <v>35</v>
          </cell>
          <cell r="AH36">
            <v>36</v>
          </cell>
          <cell r="AI36">
            <v>36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13136</v>
          </cell>
          <cell r="F38">
            <v>13180</v>
          </cell>
          <cell r="G38">
            <v>13205</v>
          </cell>
          <cell r="H38">
            <v>13190</v>
          </cell>
          <cell r="I38">
            <v>13109</v>
          </cell>
          <cell r="J38">
            <v>13014</v>
          </cell>
          <cell r="K38">
            <v>12930</v>
          </cell>
          <cell r="L38">
            <v>12865</v>
          </cell>
          <cell r="M38">
            <v>12817</v>
          </cell>
          <cell r="N38">
            <v>12787</v>
          </cell>
          <cell r="O38">
            <v>12787</v>
          </cell>
          <cell r="P38">
            <v>12804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13073</v>
          </cell>
          <cell r="Y38">
            <v>13114</v>
          </cell>
          <cell r="Z38">
            <v>13139</v>
          </cell>
          <cell r="AA38">
            <v>13125</v>
          </cell>
          <cell r="AB38">
            <v>13060</v>
          </cell>
          <cell r="AC38">
            <v>12965</v>
          </cell>
          <cell r="AD38">
            <v>12883</v>
          </cell>
          <cell r="AE38">
            <v>12817</v>
          </cell>
          <cell r="AF38">
            <v>12769</v>
          </cell>
          <cell r="AG38">
            <v>12734</v>
          </cell>
          <cell r="AH38">
            <v>12728</v>
          </cell>
          <cell r="AI38">
            <v>12755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101939</v>
          </cell>
          <cell r="F41">
            <v>224718</v>
          </cell>
          <cell r="G41">
            <v>348552</v>
          </cell>
          <cell r="H41">
            <v>411109</v>
          </cell>
          <cell r="I41">
            <v>434925</v>
          </cell>
          <cell r="J41">
            <v>445851</v>
          </cell>
          <cell r="K41">
            <v>455068</v>
          </cell>
          <cell r="L41">
            <v>463611</v>
          </cell>
          <cell r="M41">
            <v>472162</v>
          </cell>
          <cell r="N41">
            <v>486261</v>
          </cell>
          <cell r="O41">
            <v>514915</v>
          </cell>
          <cell r="P41">
            <v>560347</v>
          </cell>
          <cell r="T41">
            <v>38</v>
          </cell>
          <cell r="U41" t="str">
            <v>Residential</v>
          </cell>
          <cell r="W41"/>
          <cell r="X41">
            <v>100180</v>
          </cell>
          <cell r="Y41">
            <v>228035</v>
          </cell>
          <cell r="Z41">
            <v>329779</v>
          </cell>
          <cell r="AA41">
            <v>387683</v>
          </cell>
          <cell r="AB41">
            <v>412259</v>
          </cell>
          <cell r="AC41">
            <v>423327</v>
          </cell>
          <cell r="AD41">
            <v>432276</v>
          </cell>
          <cell r="AE41">
            <v>440445</v>
          </cell>
          <cell r="AF41">
            <v>450028</v>
          </cell>
          <cell r="AG41">
            <v>461264</v>
          </cell>
          <cell r="AH41">
            <v>492808</v>
          </cell>
          <cell r="AI41">
            <v>563905</v>
          </cell>
        </row>
        <row r="42">
          <cell r="A42">
            <v>39</v>
          </cell>
          <cell r="B42" t="str">
            <v>Commercial</v>
          </cell>
          <cell r="D42"/>
          <cell r="E42">
            <v>130027</v>
          </cell>
          <cell r="F42">
            <v>284755</v>
          </cell>
          <cell r="G42">
            <v>425525</v>
          </cell>
          <cell r="H42">
            <v>510916</v>
          </cell>
          <cell r="I42">
            <v>556426</v>
          </cell>
          <cell r="J42">
            <v>590394</v>
          </cell>
          <cell r="K42">
            <v>623168</v>
          </cell>
          <cell r="L42">
            <v>653756</v>
          </cell>
          <cell r="M42">
            <v>687017</v>
          </cell>
          <cell r="N42">
            <v>734278</v>
          </cell>
          <cell r="O42">
            <v>788274</v>
          </cell>
          <cell r="P42">
            <v>861998</v>
          </cell>
          <cell r="T42">
            <v>39</v>
          </cell>
          <cell r="U42" t="str">
            <v>Commercial</v>
          </cell>
          <cell r="W42"/>
          <cell r="X42">
            <v>129500</v>
          </cell>
          <cell r="Y42">
            <v>274459</v>
          </cell>
          <cell r="Z42">
            <v>402154</v>
          </cell>
          <cell r="AA42">
            <v>480791</v>
          </cell>
          <cell r="AB42">
            <v>529366</v>
          </cell>
          <cell r="AC42">
            <v>563495</v>
          </cell>
          <cell r="AD42">
            <v>596601</v>
          </cell>
          <cell r="AE42">
            <v>627582</v>
          </cell>
          <cell r="AF42">
            <v>662546</v>
          </cell>
          <cell r="AG42">
            <v>704579</v>
          </cell>
          <cell r="AH42">
            <v>767289</v>
          </cell>
          <cell r="AI42">
            <v>869825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124081</v>
          </cell>
          <cell r="F43">
            <v>247112</v>
          </cell>
          <cell r="G43">
            <v>373788</v>
          </cell>
          <cell r="H43">
            <v>493820</v>
          </cell>
          <cell r="I43">
            <v>597334</v>
          </cell>
          <cell r="J43">
            <v>704923</v>
          </cell>
          <cell r="K43">
            <v>803988</v>
          </cell>
          <cell r="L43">
            <v>905930</v>
          </cell>
          <cell r="M43">
            <v>1028786</v>
          </cell>
          <cell r="N43">
            <v>1163549</v>
          </cell>
          <cell r="O43">
            <v>1287532</v>
          </cell>
          <cell r="P43">
            <v>1431238</v>
          </cell>
          <cell r="T43">
            <v>40</v>
          </cell>
          <cell r="U43" t="str">
            <v xml:space="preserve">Industrial </v>
          </cell>
          <cell r="W43"/>
          <cell r="X43">
            <v>113534</v>
          </cell>
          <cell r="Y43">
            <v>229958</v>
          </cell>
          <cell r="Z43">
            <v>341866</v>
          </cell>
          <cell r="AA43">
            <v>449249</v>
          </cell>
          <cell r="AB43">
            <v>555731</v>
          </cell>
          <cell r="AC43">
            <v>651340</v>
          </cell>
          <cell r="AD43">
            <v>755001</v>
          </cell>
          <cell r="AE43">
            <v>850622</v>
          </cell>
          <cell r="AF43">
            <v>966746</v>
          </cell>
          <cell r="AG43">
            <v>1103531</v>
          </cell>
          <cell r="AH43">
            <v>1230090</v>
          </cell>
          <cell r="AI43">
            <v>1374405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356047</v>
          </cell>
          <cell r="F45">
            <v>756585</v>
          </cell>
          <cell r="G45">
            <v>1147865</v>
          </cell>
          <cell r="H45">
            <v>1415845</v>
          </cell>
          <cell r="I45">
            <v>1588685</v>
          </cell>
          <cell r="J45">
            <v>1741168</v>
          </cell>
          <cell r="K45">
            <v>1882224</v>
          </cell>
          <cell r="L45">
            <v>2023297</v>
          </cell>
          <cell r="M45">
            <v>2187965</v>
          </cell>
          <cell r="N45">
            <v>2384088</v>
          </cell>
          <cell r="O45">
            <v>2590721</v>
          </cell>
          <cell r="P45">
            <v>2853583</v>
          </cell>
          <cell r="T45">
            <v>42</v>
          </cell>
          <cell r="U45" t="str">
            <v>Total customers</v>
          </cell>
          <cell r="V45"/>
          <cell r="W45"/>
          <cell r="X45">
            <v>343214</v>
          </cell>
          <cell r="Y45">
            <v>732452</v>
          </cell>
          <cell r="Z45">
            <v>1073799</v>
          </cell>
          <cell r="AA45">
            <v>1317723</v>
          </cell>
          <cell r="AB45">
            <v>1497356</v>
          </cell>
          <cell r="AC45">
            <v>1638162</v>
          </cell>
          <cell r="AD45">
            <v>1783878</v>
          </cell>
          <cell r="AE45">
            <v>1918649</v>
          </cell>
          <cell r="AF45">
            <v>2079320</v>
          </cell>
          <cell r="AG45">
            <v>2269374</v>
          </cell>
          <cell r="AH45">
            <v>2490187</v>
          </cell>
          <cell r="AI45">
            <v>2808135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108244</v>
          </cell>
          <cell r="F48">
            <v>238931</v>
          </cell>
          <cell r="G48">
            <v>370637</v>
          </cell>
          <cell r="H48">
            <v>436850</v>
          </cell>
          <cell r="I48">
            <v>462068</v>
          </cell>
          <cell r="J48">
            <v>473683</v>
          </cell>
          <cell r="K48">
            <v>483438</v>
          </cell>
          <cell r="L48">
            <v>492464</v>
          </cell>
          <cell r="M48">
            <v>501486</v>
          </cell>
          <cell r="N48">
            <v>516424</v>
          </cell>
          <cell r="O48">
            <v>546641</v>
          </cell>
          <cell r="P48">
            <v>594584</v>
          </cell>
          <cell r="T48">
            <v>45</v>
          </cell>
          <cell r="U48" t="str">
            <v>Residential</v>
          </cell>
          <cell r="W48"/>
          <cell r="X48">
            <v>106677</v>
          </cell>
          <cell r="Y48">
            <v>241391</v>
          </cell>
          <cell r="Z48">
            <v>348559</v>
          </cell>
          <cell r="AA48">
            <v>409732</v>
          </cell>
          <cell r="AB48">
            <v>435731</v>
          </cell>
          <cell r="AC48">
            <v>447459</v>
          </cell>
          <cell r="AD48">
            <v>457008</v>
          </cell>
          <cell r="AE48">
            <v>465721</v>
          </cell>
          <cell r="AF48">
            <v>475919</v>
          </cell>
          <cell r="AG48">
            <v>487884</v>
          </cell>
          <cell r="AH48">
            <v>521549</v>
          </cell>
          <cell r="AI48">
            <v>597414</v>
          </cell>
        </row>
        <row r="49">
          <cell r="A49">
            <v>46</v>
          </cell>
          <cell r="B49" t="str">
            <v>Commercial</v>
          </cell>
          <cell r="D49"/>
          <cell r="E49">
            <v>138069</v>
          </cell>
          <cell r="F49">
            <v>302763</v>
          </cell>
          <cell r="G49">
            <v>452482</v>
          </cell>
          <cell r="H49">
            <v>542863</v>
          </cell>
          <cell r="I49">
            <v>591053</v>
          </cell>
          <cell r="J49">
            <v>627162</v>
          </cell>
          <cell r="K49">
            <v>661849</v>
          </cell>
          <cell r="L49">
            <v>694167</v>
          </cell>
          <cell r="M49">
            <v>729260</v>
          </cell>
          <cell r="N49">
            <v>779334</v>
          </cell>
          <cell r="O49">
            <v>836275</v>
          </cell>
          <cell r="P49">
            <v>914074</v>
          </cell>
          <cell r="T49">
            <v>46</v>
          </cell>
          <cell r="U49" t="str">
            <v>Commercial</v>
          </cell>
          <cell r="W49"/>
          <cell r="X49">
            <v>137898</v>
          </cell>
          <cell r="Y49">
            <v>290634</v>
          </cell>
          <cell r="Z49">
            <v>425136</v>
          </cell>
          <cell r="AA49">
            <v>508212</v>
          </cell>
          <cell r="AB49">
            <v>559599</v>
          </cell>
          <cell r="AC49">
            <v>595762</v>
          </cell>
          <cell r="AD49">
            <v>631088</v>
          </cell>
          <cell r="AE49">
            <v>664132</v>
          </cell>
          <cell r="AF49">
            <v>701341</v>
          </cell>
          <cell r="AG49">
            <v>746100</v>
          </cell>
          <cell r="AH49">
            <v>813027</v>
          </cell>
          <cell r="AI49">
            <v>922440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131755</v>
          </cell>
          <cell r="F50">
            <v>262710</v>
          </cell>
          <cell r="G50">
            <v>397439</v>
          </cell>
          <cell r="H50">
            <v>524486</v>
          </cell>
          <cell r="I50">
            <v>634095</v>
          </cell>
          <cell r="J50">
            <v>748465</v>
          </cell>
          <cell r="K50">
            <v>853311</v>
          </cell>
          <cell r="L50">
            <v>961018</v>
          </cell>
          <cell r="M50">
            <v>1090640</v>
          </cell>
          <cell r="N50">
            <v>1233425</v>
          </cell>
          <cell r="O50">
            <v>1364170</v>
          </cell>
          <cell r="P50">
            <v>1515820</v>
          </cell>
          <cell r="T50">
            <v>47</v>
          </cell>
          <cell r="U50" t="str">
            <v xml:space="preserve">Industrial </v>
          </cell>
          <cell r="W50"/>
          <cell r="X50">
            <v>120897</v>
          </cell>
          <cell r="Y50">
            <v>243567</v>
          </cell>
          <cell r="Z50">
            <v>361441</v>
          </cell>
          <cell r="AA50">
            <v>474886</v>
          </cell>
          <cell r="AB50">
            <v>587532</v>
          </cell>
          <cell r="AC50">
            <v>688838</v>
          </cell>
          <cell r="AD50">
            <v>799449</v>
          </cell>
          <cell r="AE50">
            <v>901438</v>
          </cell>
          <cell r="AF50">
            <v>1025019</v>
          </cell>
          <cell r="AG50">
            <v>1170676</v>
          </cell>
          <cell r="AH50">
            <v>1305745</v>
          </cell>
          <cell r="AI50">
            <v>1459739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378068</v>
          </cell>
          <cell r="F52">
            <v>804404</v>
          </cell>
          <cell r="G52">
            <v>1220558</v>
          </cell>
          <cell r="H52">
            <v>1504199</v>
          </cell>
          <cell r="I52">
            <v>1687216</v>
          </cell>
          <cell r="J52">
            <v>1849310</v>
          </cell>
          <cell r="K52">
            <v>1998598</v>
          </cell>
          <cell r="L52">
            <v>2147649</v>
          </cell>
          <cell r="M52">
            <v>2321386</v>
          </cell>
          <cell r="N52">
            <v>2529183</v>
          </cell>
          <cell r="O52">
            <v>2747086</v>
          </cell>
          <cell r="P52">
            <v>3024478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365472</v>
          </cell>
          <cell r="Y52">
            <v>775592</v>
          </cell>
          <cell r="Z52">
            <v>1135136</v>
          </cell>
          <cell r="AA52">
            <v>1392830</v>
          </cell>
          <cell r="AB52">
            <v>1582862</v>
          </cell>
          <cell r="AC52">
            <v>1732059</v>
          </cell>
          <cell r="AD52">
            <v>1887545</v>
          </cell>
          <cell r="AE52">
            <v>2031291</v>
          </cell>
          <cell r="AF52">
            <v>2202279</v>
          </cell>
          <cell r="AG52">
            <v>2404660</v>
          </cell>
          <cell r="AH52">
            <v>2640321</v>
          </cell>
          <cell r="AI52">
            <v>2979593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13171</v>
          </cell>
          <cell r="F55">
            <v>13213</v>
          </cell>
          <cell r="G55">
            <v>13228</v>
          </cell>
          <cell r="H55">
            <v>13239</v>
          </cell>
          <cell r="I55">
            <v>13215</v>
          </cell>
          <cell r="J55">
            <v>13133</v>
          </cell>
          <cell r="K55">
            <v>13064</v>
          </cell>
          <cell r="L55">
            <v>13020</v>
          </cell>
          <cell r="M55">
            <v>12998</v>
          </cell>
          <cell r="N55">
            <v>12996</v>
          </cell>
          <cell r="O55">
            <v>13029</v>
          </cell>
          <cell r="P55">
            <v>13092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337273</v>
          </cell>
          <cell r="F56">
            <v>698038</v>
          </cell>
          <cell r="G56">
            <v>1020285</v>
          </cell>
          <cell r="H56">
            <v>1262198</v>
          </cell>
          <cell r="I56">
            <v>1444573</v>
          </cell>
          <cell r="J56">
            <v>1589715</v>
          </cell>
          <cell r="K56">
            <v>1726416</v>
          </cell>
          <cell r="L56">
            <v>1871486</v>
          </cell>
          <cell r="M56">
            <v>2028514</v>
          </cell>
          <cell r="N56">
            <v>2217885</v>
          </cell>
          <cell r="O56">
            <v>2434410</v>
          </cell>
          <cell r="P56">
            <v>2746802</v>
          </cell>
        </row>
        <row r="57">
          <cell r="A57">
            <v>54</v>
          </cell>
          <cell r="B57" t="str">
            <v>Cumulative YTD Budget Volume (Dts) * 1.035</v>
          </cell>
          <cell r="E57">
            <v>349077.55499999999</v>
          </cell>
          <cell r="F57">
            <v>722469.33</v>
          </cell>
          <cell r="G57">
            <v>1055994.9749999999</v>
          </cell>
          <cell r="H57">
            <v>1306374.93</v>
          </cell>
          <cell r="I57">
            <v>1495133.0549999999</v>
          </cell>
          <cell r="J57">
            <v>1645355.0249999999</v>
          </cell>
          <cell r="K57">
            <v>1786840.5599999998</v>
          </cell>
          <cell r="L57">
            <v>1936988.0099999998</v>
          </cell>
          <cell r="M57">
            <v>2099511.9899999998</v>
          </cell>
          <cell r="N57">
            <v>2295510.9749999996</v>
          </cell>
          <cell r="O57">
            <v>2519614.3499999996</v>
          </cell>
          <cell r="P57">
            <v>2842940.0699999994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14853.916666666666</v>
          </cell>
          <cell r="E5">
            <v>14722</v>
          </cell>
          <cell r="F5">
            <v>14793</v>
          </cell>
          <cell r="G5">
            <v>14867</v>
          </cell>
          <cell r="H5">
            <v>14917</v>
          </cell>
          <cell r="I5">
            <v>14834</v>
          </cell>
          <cell r="J5">
            <v>14749</v>
          </cell>
          <cell r="K5">
            <v>14777</v>
          </cell>
          <cell r="L5">
            <v>14791</v>
          </cell>
          <cell r="M5">
            <v>14799</v>
          </cell>
          <cell r="N5">
            <v>14918</v>
          </cell>
          <cell r="O5">
            <v>14987</v>
          </cell>
          <cell r="P5">
            <v>15093</v>
          </cell>
          <cell r="T5">
            <v>2</v>
          </cell>
          <cell r="U5" t="str">
            <v>Residential</v>
          </cell>
          <cell r="V5">
            <v>14412</v>
          </cell>
          <cell r="W5">
            <v>172940</v>
          </cell>
          <cell r="X5">
            <v>14264</v>
          </cell>
          <cell r="Y5">
            <v>14361</v>
          </cell>
          <cell r="Z5">
            <v>14422</v>
          </cell>
          <cell r="AA5">
            <v>14487</v>
          </cell>
          <cell r="AB5">
            <v>14403</v>
          </cell>
          <cell r="AC5">
            <v>14270</v>
          </cell>
          <cell r="AD5">
            <v>14288</v>
          </cell>
          <cell r="AE5">
            <v>14361</v>
          </cell>
          <cell r="AF5">
            <v>14420</v>
          </cell>
          <cell r="AG5">
            <v>14459</v>
          </cell>
          <cell r="AH5">
            <v>14539</v>
          </cell>
          <cell r="AI5">
            <v>14666</v>
          </cell>
        </row>
        <row r="6">
          <cell r="A6">
            <v>3</v>
          </cell>
          <cell r="B6" t="str">
            <v>Commercial</v>
          </cell>
          <cell r="C6"/>
          <cell r="D6">
            <v>1360.25</v>
          </cell>
          <cell r="E6">
            <v>1355</v>
          </cell>
          <cell r="F6">
            <v>1353</v>
          </cell>
          <cell r="G6">
            <v>1355</v>
          </cell>
          <cell r="H6">
            <v>1352</v>
          </cell>
          <cell r="I6">
            <v>1353</v>
          </cell>
          <cell r="J6">
            <v>1325</v>
          </cell>
          <cell r="K6">
            <v>1353</v>
          </cell>
          <cell r="L6">
            <v>1354</v>
          </cell>
          <cell r="M6">
            <v>1359</v>
          </cell>
          <cell r="N6">
            <v>1383</v>
          </cell>
          <cell r="O6">
            <v>1386</v>
          </cell>
          <cell r="P6">
            <v>1395</v>
          </cell>
          <cell r="T6">
            <v>3</v>
          </cell>
          <cell r="U6" t="str">
            <v>Commercial</v>
          </cell>
          <cell r="V6">
            <v>1363</v>
          </cell>
          <cell r="W6">
            <v>16352</v>
          </cell>
          <cell r="X6">
            <v>1349</v>
          </cell>
          <cell r="Y6">
            <v>1335</v>
          </cell>
          <cell r="Z6">
            <v>1354</v>
          </cell>
          <cell r="AA6">
            <v>1400</v>
          </cell>
          <cell r="AB6">
            <v>1357</v>
          </cell>
          <cell r="AC6">
            <v>1331</v>
          </cell>
          <cell r="AD6">
            <v>1333</v>
          </cell>
          <cell r="AE6">
            <v>1386</v>
          </cell>
          <cell r="AF6">
            <v>1422</v>
          </cell>
          <cell r="AG6">
            <v>1380</v>
          </cell>
          <cell r="AH6">
            <v>1352</v>
          </cell>
          <cell r="AI6">
            <v>1353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69.25</v>
          </cell>
          <cell r="E7">
            <v>67</v>
          </cell>
          <cell r="F7">
            <v>66</v>
          </cell>
          <cell r="G7">
            <v>67</v>
          </cell>
          <cell r="H7">
            <v>65</v>
          </cell>
          <cell r="I7">
            <v>69</v>
          </cell>
          <cell r="J7">
            <v>67</v>
          </cell>
          <cell r="K7">
            <v>67</v>
          </cell>
          <cell r="L7">
            <v>70</v>
          </cell>
          <cell r="M7">
            <v>71</v>
          </cell>
          <cell r="N7">
            <v>77</v>
          </cell>
          <cell r="O7">
            <v>74</v>
          </cell>
          <cell r="P7">
            <v>71</v>
          </cell>
          <cell r="T7">
            <v>4</v>
          </cell>
          <cell r="U7" t="str">
            <v xml:space="preserve">Industrial </v>
          </cell>
          <cell r="V7">
            <v>60</v>
          </cell>
          <cell r="W7">
            <v>725</v>
          </cell>
          <cell r="X7">
            <v>59</v>
          </cell>
          <cell r="Y7">
            <v>66</v>
          </cell>
          <cell r="Z7">
            <v>58</v>
          </cell>
          <cell r="AA7">
            <v>58</v>
          </cell>
          <cell r="AB7">
            <v>59</v>
          </cell>
          <cell r="AC7">
            <v>59</v>
          </cell>
          <cell r="AD7">
            <v>59</v>
          </cell>
          <cell r="AE7">
            <v>60</v>
          </cell>
          <cell r="AF7">
            <v>59</v>
          </cell>
          <cell r="AG7">
            <v>61</v>
          </cell>
          <cell r="AH7">
            <v>60</v>
          </cell>
          <cell r="AI7">
            <v>67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16283.416666666666</v>
          </cell>
          <cell r="E9">
            <v>16144</v>
          </cell>
          <cell r="F9">
            <v>16212</v>
          </cell>
          <cell r="G9">
            <v>16289</v>
          </cell>
          <cell r="H9">
            <v>16334</v>
          </cell>
          <cell r="I9">
            <v>16256</v>
          </cell>
          <cell r="J9">
            <v>16141</v>
          </cell>
          <cell r="K9">
            <v>16197</v>
          </cell>
          <cell r="L9">
            <v>16215</v>
          </cell>
          <cell r="M9">
            <v>16229</v>
          </cell>
          <cell r="N9">
            <v>16378</v>
          </cell>
          <cell r="O9">
            <v>16447</v>
          </cell>
          <cell r="P9">
            <v>16559</v>
          </cell>
          <cell r="T9">
            <v>6</v>
          </cell>
          <cell r="U9" t="str">
            <v>Total customers</v>
          </cell>
          <cell r="V9">
            <v>15835</v>
          </cell>
          <cell r="W9">
            <v>190017</v>
          </cell>
          <cell r="X9">
            <v>15672</v>
          </cell>
          <cell r="Y9">
            <v>15762</v>
          </cell>
          <cell r="Z9">
            <v>15834</v>
          </cell>
          <cell r="AA9">
            <v>15945</v>
          </cell>
          <cell r="AB9">
            <v>15819</v>
          </cell>
          <cell r="AC9">
            <v>15660</v>
          </cell>
          <cell r="AD9">
            <v>15680</v>
          </cell>
          <cell r="AE9">
            <v>15807</v>
          </cell>
          <cell r="AF9">
            <v>15901</v>
          </cell>
          <cell r="AG9">
            <v>15900</v>
          </cell>
          <cell r="AH9">
            <v>15951</v>
          </cell>
          <cell r="AI9">
            <v>16086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318645.11709806212</v>
          </cell>
          <cell r="E12">
            <v>43486.8</v>
          </cell>
          <cell r="F12">
            <v>55519.62</v>
          </cell>
          <cell r="G12">
            <v>38026.758204304249</v>
          </cell>
          <cell r="H12">
            <v>30865.13</v>
          </cell>
          <cell r="I12">
            <v>18049.37</v>
          </cell>
          <cell r="J12">
            <v>15426.915960658293</v>
          </cell>
          <cell r="K12">
            <v>15689.551076054144</v>
          </cell>
          <cell r="L12">
            <v>16261.174408413672</v>
          </cell>
          <cell r="M12">
            <v>15259.518940500535</v>
          </cell>
          <cell r="N12">
            <v>17805.044308111792</v>
          </cell>
          <cell r="O12">
            <v>21867.075664621676</v>
          </cell>
          <cell r="P12">
            <v>30388.158535397797</v>
          </cell>
          <cell r="T12">
            <v>9</v>
          </cell>
          <cell r="U12" t="str">
            <v>Residential</v>
          </cell>
          <cell r="W12">
            <v>333709.19875352998</v>
          </cell>
          <cell r="X12">
            <v>52421</v>
          </cell>
          <cell r="Y12">
            <v>42274</v>
          </cell>
          <cell r="Z12">
            <v>38382</v>
          </cell>
          <cell r="AA12">
            <v>34621</v>
          </cell>
          <cell r="AB12">
            <v>19983.737462265068</v>
          </cell>
          <cell r="AC12">
            <v>16444.152303048009</v>
          </cell>
          <cell r="AD12">
            <v>15428.863569967863</v>
          </cell>
          <cell r="AE12">
            <v>14254.649917226605</v>
          </cell>
          <cell r="AF12">
            <v>14134.190281429544</v>
          </cell>
          <cell r="AG12">
            <v>18694.225338397118</v>
          </cell>
          <cell r="AH12">
            <v>27284.253578732107</v>
          </cell>
          <cell r="AI12">
            <v>39787.126302463723</v>
          </cell>
        </row>
        <row r="13">
          <cell r="A13">
            <v>10</v>
          </cell>
          <cell r="B13" t="str">
            <v>Commercial</v>
          </cell>
          <cell r="D13">
            <v>5274821.3954163007</v>
          </cell>
          <cell r="E13">
            <v>461002.04</v>
          </cell>
          <cell r="F13">
            <v>449692.76</v>
          </cell>
          <cell r="G13">
            <v>443954.23</v>
          </cell>
          <cell r="H13">
            <v>460692.86</v>
          </cell>
          <cell r="I13">
            <v>444848.48</v>
          </cell>
          <cell r="J13">
            <v>431929.59392345895</v>
          </cell>
          <cell r="K13">
            <v>433293.79686434899</v>
          </cell>
          <cell r="L13">
            <v>406641.0556042458</v>
          </cell>
          <cell r="M13">
            <v>430907.29379686434</v>
          </cell>
          <cell r="N13">
            <v>452550.39439088519</v>
          </cell>
          <cell r="O13">
            <v>419030.28532476386</v>
          </cell>
          <cell r="P13">
            <v>440278.60551173432</v>
          </cell>
          <cell r="T13">
            <v>10</v>
          </cell>
          <cell r="U13" t="str">
            <v>Commercial</v>
          </cell>
          <cell r="W13">
            <v>1672129.6133995519</v>
          </cell>
          <cell r="X13">
            <v>150373</v>
          </cell>
          <cell r="Y13">
            <v>118901</v>
          </cell>
          <cell r="Z13">
            <v>125797</v>
          </cell>
          <cell r="AA13">
            <v>117929</v>
          </cell>
          <cell r="AB13">
            <v>101835.42701334112</v>
          </cell>
          <cell r="AC13">
            <v>95135.35884701529</v>
          </cell>
          <cell r="AD13">
            <v>93005.453306066804</v>
          </cell>
          <cell r="AE13">
            <v>93702.989580290188</v>
          </cell>
          <cell r="AF13">
            <v>96572.402376083352</v>
          </cell>
          <cell r="AG13">
            <v>111335.57308403934</v>
          </cell>
          <cell r="AH13">
            <v>124072.25630538513</v>
          </cell>
          <cell r="AI13">
            <v>443470.1528873308</v>
          </cell>
        </row>
        <row r="14">
          <cell r="A14">
            <v>11</v>
          </cell>
          <cell r="B14" t="str">
            <v xml:space="preserve">Industrial </v>
          </cell>
          <cell r="D14">
            <v>10714720.026967572</v>
          </cell>
          <cell r="E14">
            <v>856208.39</v>
          </cell>
          <cell r="F14">
            <v>943253.87</v>
          </cell>
          <cell r="G14">
            <v>962052</v>
          </cell>
          <cell r="H14">
            <v>590945.76</v>
          </cell>
          <cell r="I14">
            <v>1268224.95</v>
          </cell>
          <cell r="J14">
            <v>914274.32077125332</v>
          </cell>
          <cell r="K14">
            <v>1132266.7250949459</v>
          </cell>
          <cell r="L14">
            <v>663005.4533060668</v>
          </cell>
          <cell r="M14">
            <v>643011.97779725387</v>
          </cell>
          <cell r="N14">
            <v>788107.21589249198</v>
          </cell>
          <cell r="O14">
            <v>816880.1246469958</v>
          </cell>
          <cell r="P14">
            <v>1136489.2394585647</v>
          </cell>
          <cell r="T14">
            <v>11</v>
          </cell>
          <cell r="U14" t="str">
            <v xml:space="preserve">Industrial </v>
          </cell>
          <cell r="W14">
            <v>12287960.11305872</v>
          </cell>
          <cell r="X14">
            <v>1372708</v>
          </cell>
          <cell r="Y14">
            <v>1162258</v>
          </cell>
          <cell r="Z14">
            <v>1095519</v>
          </cell>
          <cell r="AA14">
            <v>1026944</v>
          </cell>
          <cell r="AB14">
            <v>1262141.0069140131</v>
          </cell>
          <cell r="AC14">
            <v>927210.24442496838</v>
          </cell>
          <cell r="AD14">
            <v>979240.33498880127</v>
          </cell>
          <cell r="AE14">
            <v>974914.59733177524</v>
          </cell>
          <cell r="AF14">
            <v>801969.61729477067</v>
          </cell>
          <cell r="AG14">
            <v>773025.12416009349</v>
          </cell>
          <cell r="AH14">
            <v>947745.44746323884</v>
          </cell>
          <cell r="AI14">
            <v>964284.74048105953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D16">
            <v>16308186.539481934</v>
          </cell>
          <cell r="E16">
            <v>1360697.23</v>
          </cell>
          <cell r="F16">
            <v>1448466.25</v>
          </cell>
          <cell r="G16">
            <v>1444032.9882043041</v>
          </cell>
          <cell r="H16">
            <v>1082503.75</v>
          </cell>
          <cell r="I16">
            <v>1731122.7999999998</v>
          </cell>
          <cell r="J16">
            <v>1361630.8306553706</v>
          </cell>
          <cell r="K16">
            <v>1581250.0730353491</v>
          </cell>
          <cell r="L16">
            <v>1085907.6833187263</v>
          </cell>
          <cell r="M16">
            <v>1089178.7905346188</v>
          </cell>
          <cell r="N16">
            <v>1258462.6545914889</v>
          </cell>
          <cell r="O16">
            <v>1257777.4856363814</v>
          </cell>
          <cell r="P16">
            <v>1607156.0035056968</v>
          </cell>
          <cell r="T16">
            <v>13</v>
          </cell>
          <cell r="U16" t="str">
            <v>Total Deliveries</v>
          </cell>
          <cell r="V16"/>
          <cell r="W16">
            <v>14293798.925211802</v>
          </cell>
          <cell r="X16">
            <v>1575502</v>
          </cell>
          <cell r="Y16">
            <v>1323433</v>
          </cell>
          <cell r="Z16">
            <v>1259698</v>
          </cell>
          <cell r="AA16">
            <v>1179494</v>
          </cell>
          <cell r="AB16">
            <v>1383960.1713896194</v>
          </cell>
          <cell r="AC16">
            <v>1038789.7555750317</v>
          </cell>
          <cell r="AD16">
            <v>1087674.651864836</v>
          </cell>
          <cell r="AE16">
            <v>1082872.236829292</v>
          </cell>
          <cell r="AF16">
            <v>912676.20995228353</v>
          </cell>
          <cell r="AG16">
            <v>903054.92258252995</v>
          </cell>
          <cell r="AH16">
            <v>1099101.957347356</v>
          </cell>
          <cell r="AI16">
            <v>1447542.0196708541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327218</v>
          </cell>
          <cell r="E21">
            <v>44657</v>
          </cell>
          <cell r="F21">
            <v>57013</v>
          </cell>
          <cell r="G21">
            <v>39050</v>
          </cell>
          <cell r="H21">
            <v>31695</v>
          </cell>
          <cell r="I21">
            <v>18535</v>
          </cell>
          <cell r="J21">
            <v>15842</v>
          </cell>
          <cell r="K21">
            <v>16112</v>
          </cell>
          <cell r="L21">
            <v>16699</v>
          </cell>
          <cell r="M21">
            <v>15670</v>
          </cell>
          <cell r="N21">
            <v>18284</v>
          </cell>
          <cell r="O21">
            <v>22455</v>
          </cell>
          <cell r="P21">
            <v>31206</v>
          </cell>
          <cell r="T21">
            <v>18</v>
          </cell>
          <cell r="U21" t="str">
            <v>Residential</v>
          </cell>
          <cell r="W21">
            <v>342684</v>
          </cell>
          <cell r="X21">
            <v>53831</v>
          </cell>
          <cell r="Y21">
            <v>43411</v>
          </cell>
          <cell r="Z21">
            <v>39414</v>
          </cell>
          <cell r="AA21">
            <v>35552</v>
          </cell>
          <cell r="AB21">
            <v>20521</v>
          </cell>
          <cell r="AC21">
            <v>16887</v>
          </cell>
          <cell r="AD21">
            <v>15844</v>
          </cell>
          <cell r="AE21">
            <v>14638</v>
          </cell>
          <cell r="AF21">
            <v>14514</v>
          </cell>
          <cell r="AG21">
            <v>19197</v>
          </cell>
          <cell r="AH21">
            <v>28018</v>
          </cell>
          <cell r="AI21">
            <v>40857</v>
          </cell>
        </row>
        <row r="22">
          <cell r="A22">
            <v>19</v>
          </cell>
          <cell r="B22" t="str">
            <v>Commercial</v>
          </cell>
          <cell r="D22">
            <v>5416714</v>
          </cell>
          <cell r="E22">
            <v>473403</v>
          </cell>
          <cell r="F22">
            <v>461789</v>
          </cell>
          <cell r="G22">
            <v>455897</v>
          </cell>
          <cell r="H22">
            <v>473085</v>
          </cell>
          <cell r="I22">
            <v>456815</v>
          </cell>
          <cell r="J22">
            <v>443549</v>
          </cell>
          <cell r="K22">
            <v>444949</v>
          </cell>
          <cell r="L22">
            <v>417580</v>
          </cell>
          <cell r="M22">
            <v>442499</v>
          </cell>
          <cell r="N22">
            <v>464724</v>
          </cell>
          <cell r="O22">
            <v>430302</v>
          </cell>
          <cell r="P22">
            <v>452122</v>
          </cell>
          <cell r="T22">
            <v>19</v>
          </cell>
          <cell r="U22" t="str">
            <v>Commercial</v>
          </cell>
          <cell r="W22">
            <v>1717111</v>
          </cell>
          <cell r="X22">
            <v>154418</v>
          </cell>
          <cell r="Y22">
            <v>122099</v>
          </cell>
          <cell r="Z22">
            <v>129181</v>
          </cell>
          <cell r="AA22">
            <v>121101</v>
          </cell>
          <cell r="AB22">
            <v>104575</v>
          </cell>
          <cell r="AC22">
            <v>97695</v>
          </cell>
          <cell r="AD22">
            <v>95507</v>
          </cell>
          <cell r="AE22">
            <v>96224</v>
          </cell>
          <cell r="AF22">
            <v>99170</v>
          </cell>
          <cell r="AG22">
            <v>114331</v>
          </cell>
          <cell r="AH22">
            <v>127410</v>
          </cell>
          <cell r="AI22">
            <v>455400</v>
          </cell>
        </row>
        <row r="23">
          <cell r="A23">
            <v>20</v>
          </cell>
          <cell r="B23" t="str">
            <v xml:space="preserve">Industrial </v>
          </cell>
          <cell r="D23">
            <v>11002944</v>
          </cell>
          <cell r="E23">
            <v>879240</v>
          </cell>
          <cell r="F23">
            <v>968627</v>
          </cell>
          <cell r="G23">
            <v>987931</v>
          </cell>
          <cell r="H23">
            <v>606842</v>
          </cell>
          <cell r="I23">
            <v>1302340</v>
          </cell>
          <cell r="J23">
            <v>938868</v>
          </cell>
          <cell r="K23">
            <v>1162725</v>
          </cell>
          <cell r="L23">
            <v>680840</v>
          </cell>
          <cell r="M23">
            <v>660309</v>
          </cell>
          <cell r="N23">
            <v>809307</v>
          </cell>
          <cell r="O23">
            <v>838854</v>
          </cell>
          <cell r="P23">
            <v>1167061</v>
          </cell>
          <cell r="T23">
            <v>20</v>
          </cell>
          <cell r="U23" t="str">
            <v xml:space="preserve">Industrial </v>
          </cell>
          <cell r="W23">
            <v>12618508</v>
          </cell>
          <cell r="X23">
            <v>1409634</v>
          </cell>
          <cell r="Y23">
            <v>1193523</v>
          </cell>
          <cell r="Z23">
            <v>1124988</v>
          </cell>
          <cell r="AA23">
            <v>1054569</v>
          </cell>
          <cell r="AB23">
            <v>1296093</v>
          </cell>
          <cell r="AC23">
            <v>952152</v>
          </cell>
          <cell r="AD23">
            <v>1005582</v>
          </cell>
          <cell r="AE23">
            <v>1001140</v>
          </cell>
          <cell r="AF23">
            <v>823543</v>
          </cell>
          <cell r="AG23">
            <v>793820</v>
          </cell>
          <cell r="AH23">
            <v>973240</v>
          </cell>
          <cell r="AI23">
            <v>990224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16746876</v>
          </cell>
          <cell r="E25">
            <v>1397300</v>
          </cell>
          <cell r="F25">
            <v>1487429</v>
          </cell>
          <cell r="G25">
            <v>1482878</v>
          </cell>
          <cell r="H25">
            <v>1111622</v>
          </cell>
          <cell r="I25">
            <v>1777690</v>
          </cell>
          <cell r="J25">
            <v>1398259</v>
          </cell>
          <cell r="K25">
            <v>1623786</v>
          </cell>
          <cell r="L25">
            <v>1115119</v>
          </cell>
          <cell r="M25">
            <v>1118478</v>
          </cell>
          <cell r="N25">
            <v>1292315</v>
          </cell>
          <cell r="O25">
            <v>1291611</v>
          </cell>
          <cell r="P25">
            <v>1650389</v>
          </cell>
          <cell r="T25">
            <v>22</v>
          </cell>
          <cell r="U25" t="str">
            <v>Total Deliveries</v>
          </cell>
          <cell r="V25"/>
          <cell r="W25">
            <v>14678303</v>
          </cell>
          <cell r="X25">
            <v>1617883</v>
          </cell>
          <cell r="Y25">
            <v>1359033</v>
          </cell>
          <cell r="Z25">
            <v>1293583</v>
          </cell>
          <cell r="AA25">
            <v>1211222</v>
          </cell>
          <cell r="AB25">
            <v>1421189</v>
          </cell>
          <cell r="AC25">
            <v>1066734</v>
          </cell>
          <cell r="AD25">
            <v>1116933</v>
          </cell>
          <cell r="AE25">
            <v>1112002</v>
          </cell>
          <cell r="AF25">
            <v>937227</v>
          </cell>
          <cell r="AG25">
            <v>927348</v>
          </cell>
          <cell r="AH25">
            <v>1128668</v>
          </cell>
          <cell r="AI25">
            <v>1486481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16215</v>
          </cell>
          <cell r="F28">
            <v>16301</v>
          </cell>
          <cell r="G28">
            <v>16393</v>
          </cell>
          <cell r="H28">
            <v>16506</v>
          </cell>
          <cell r="I28">
            <v>16384</v>
          </cell>
          <cell r="J28">
            <v>16218</v>
          </cell>
          <cell r="K28">
            <v>15809</v>
          </cell>
          <cell r="L28">
            <v>15820</v>
          </cell>
          <cell r="M28">
            <v>15798</v>
          </cell>
          <cell r="N28">
            <v>15849</v>
          </cell>
          <cell r="O28">
            <v>15934</v>
          </cell>
          <cell r="P28">
            <v>16057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1208615.7366832213</v>
          </cell>
          <cell r="F29">
            <v>1028878.7613204791</v>
          </cell>
          <cell r="G29">
            <v>952460.60960171383</v>
          </cell>
          <cell r="H29">
            <v>869697.3415132924</v>
          </cell>
          <cell r="I29">
            <v>955951.79666958808</v>
          </cell>
          <cell r="J29">
            <v>910065.92657512904</v>
          </cell>
          <cell r="K29">
            <v>910202.25922679913</v>
          </cell>
          <cell r="L29">
            <v>1045063.2973025611</v>
          </cell>
          <cell r="M29">
            <v>702565.97526536172</v>
          </cell>
          <cell r="N29">
            <v>896640.08179959096</v>
          </cell>
          <cell r="O29">
            <v>881187.65215697733</v>
          </cell>
          <cell r="P29">
            <v>988173.04508715554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1241128</v>
          </cell>
          <cell r="F30">
            <v>1056556</v>
          </cell>
          <cell r="G30">
            <v>978082</v>
          </cell>
          <cell r="H30">
            <v>893092</v>
          </cell>
          <cell r="I30">
            <v>981667</v>
          </cell>
          <cell r="J30">
            <v>934547</v>
          </cell>
          <cell r="K30">
            <v>934687</v>
          </cell>
          <cell r="L30">
            <v>1073176</v>
          </cell>
          <cell r="M30">
            <v>721465</v>
          </cell>
          <cell r="N30">
            <v>920760</v>
          </cell>
          <cell r="O30">
            <v>904892</v>
          </cell>
          <cell r="P30">
            <v>1014755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14722</v>
          </cell>
          <cell r="F34">
            <v>14758</v>
          </cell>
          <cell r="G34">
            <v>14794</v>
          </cell>
          <cell r="H34">
            <v>14825</v>
          </cell>
          <cell r="I34">
            <v>14827</v>
          </cell>
          <cell r="J34">
            <v>14814</v>
          </cell>
          <cell r="K34">
            <v>14808</v>
          </cell>
          <cell r="L34">
            <v>14806</v>
          </cell>
          <cell r="M34">
            <v>14805</v>
          </cell>
          <cell r="N34">
            <v>14817</v>
          </cell>
          <cell r="O34">
            <v>14832</v>
          </cell>
          <cell r="P34">
            <v>14854</v>
          </cell>
          <cell r="T34">
            <v>31</v>
          </cell>
          <cell r="U34" t="str">
            <v>Residential</v>
          </cell>
          <cell r="V34"/>
          <cell r="W34"/>
          <cell r="X34">
            <v>14264</v>
          </cell>
          <cell r="Y34">
            <v>14313</v>
          </cell>
          <cell r="Z34">
            <v>14349</v>
          </cell>
          <cell r="AA34">
            <v>14384</v>
          </cell>
          <cell r="AB34">
            <v>14387</v>
          </cell>
          <cell r="AC34">
            <v>14368</v>
          </cell>
          <cell r="AD34">
            <v>14356</v>
          </cell>
          <cell r="AE34">
            <v>14357</v>
          </cell>
          <cell r="AF34">
            <v>14364</v>
          </cell>
          <cell r="AG34">
            <v>14374</v>
          </cell>
          <cell r="AH34">
            <v>14389</v>
          </cell>
          <cell r="AI34">
            <v>14412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1355</v>
          </cell>
          <cell r="F35">
            <v>1354</v>
          </cell>
          <cell r="G35">
            <v>1354</v>
          </cell>
          <cell r="H35">
            <v>1354</v>
          </cell>
          <cell r="I35">
            <v>1354</v>
          </cell>
          <cell r="J35">
            <v>1349</v>
          </cell>
          <cell r="K35">
            <v>1349</v>
          </cell>
          <cell r="L35">
            <v>1350</v>
          </cell>
          <cell r="M35">
            <v>1351</v>
          </cell>
          <cell r="N35">
            <v>1354</v>
          </cell>
          <cell r="O35">
            <v>1357</v>
          </cell>
          <cell r="P35">
            <v>1360</v>
          </cell>
          <cell r="T35">
            <v>32</v>
          </cell>
          <cell r="U35" t="str">
            <v>Commercial</v>
          </cell>
          <cell r="V35"/>
          <cell r="W35"/>
          <cell r="X35">
            <v>1349</v>
          </cell>
          <cell r="Y35">
            <v>1342</v>
          </cell>
          <cell r="Z35">
            <v>1346</v>
          </cell>
          <cell r="AA35">
            <v>1360</v>
          </cell>
          <cell r="AB35">
            <v>1359</v>
          </cell>
          <cell r="AC35">
            <v>1354</v>
          </cell>
          <cell r="AD35">
            <v>1351</v>
          </cell>
          <cell r="AE35">
            <v>1356</v>
          </cell>
          <cell r="AF35">
            <v>1363</v>
          </cell>
          <cell r="AG35">
            <v>1365</v>
          </cell>
          <cell r="AH35">
            <v>1364</v>
          </cell>
          <cell r="AI35">
            <v>1363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67</v>
          </cell>
          <cell r="F36">
            <v>67</v>
          </cell>
          <cell r="G36">
            <v>67</v>
          </cell>
          <cell r="H36">
            <v>66</v>
          </cell>
          <cell r="I36">
            <v>67</v>
          </cell>
          <cell r="J36">
            <v>67</v>
          </cell>
          <cell r="K36">
            <v>67</v>
          </cell>
          <cell r="L36">
            <v>67</v>
          </cell>
          <cell r="M36">
            <v>68</v>
          </cell>
          <cell r="N36">
            <v>69</v>
          </cell>
          <cell r="O36">
            <v>69</v>
          </cell>
          <cell r="P36">
            <v>69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59</v>
          </cell>
          <cell r="Y36">
            <v>63</v>
          </cell>
          <cell r="Z36">
            <v>61</v>
          </cell>
          <cell r="AA36">
            <v>60</v>
          </cell>
          <cell r="AB36">
            <v>60</v>
          </cell>
          <cell r="AC36">
            <v>60</v>
          </cell>
          <cell r="AD36">
            <v>60</v>
          </cell>
          <cell r="AE36">
            <v>60</v>
          </cell>
          <cell r="AF36">
            <v>60</v>
          </cell>
          <cell r="AG36">
            <v>60</v>
          </cell>
          <cell r="AH36">
            <v>60</v>
          </cell>
          <cell r="AI36">
            <v>60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16144</v>
          </cell>
          <cell r="F38">
            <v>16179</v>
          </cell>
          <cell r="G38">
            <v>16215</v>
          </cell>
          <cell r="H38">
            <v>16245</v>
          </cell>
          <cell r="I38">
            <v>16248</v>
          </cell>
          <cell r="J38">
            <v>16230</v>
          </cell>
          <cell r="K38">
            <v>16224</v>
          </cell>
          <cell r="L38">
            <v>16223</v>
          </cell>
          <cell r="M38">
            <v>16224</v>
          </cell>
          <cell r="N38">
            <v>16240</v>
          </cell>
          <cell r="O38">
            <v>16258</v>
          </cell>
          <cell r="P38">
            <v>16283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15672</v>
          </cell>
          <cell r="Y38">
            <v>15718</v>
          </cell>
          <cell r="Z38">
            <v>15756</v>
          </cell>
          <cell r="AA38">
            <v>15804</v>
          </cell>
          <cell r="AB38">
            <v>15806</v>
          </cell>
          <cell r="AC38">
            <v>15782</v>
          </cell>
          <cell r="AD38">
            <v>15767</v>
          </cell>
          <cell r="AE38">
            <v>15773</v>
          </cell>
          <cell r="AF38">
            <v>15787</v>
          </cell>
          <cell r="AG38">
            <v>15799</v>
          </cell>
          <cell r="AH38">
            <v>15813</v>
          </cell>
          <cell r="AI38">
            <v>15835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43486.8</v>
          </cell>
          <cell r="F41">
            <v>99006.420000000013</v>
          </cell>
          <cell r="G41">
            <v>137033.17820430425</v>
          </cell>
          <cell r="H41">
            <v>167898.30820430425</v>
          </cell>
          <cell r="I41">
            <v>185947.67820430425</v>
          </cell>
          <cell r="J41">
            <v>201374.59416496253</v>
          </cell>
          <cell r="K41">
            <v>217064.14524101667</v>
          </cell>
          <cell r="L41">
            <v>233325.31964943034</v>
          </cell>
          <cell r="M41">
            <v>248584.83858993088</v>
          </cell>
          <cell r="N41">
            <v>266389.88289804268</v>
          </cell>
          <cell r="O41">
            <v>288256.95856266434</v>
          </cell>
          <cell r="P41">
            <v>318645.11709806212</v>
          </cell>
          <cell r="T41">
            <v>38</v>
          </cell>
          <cell r="U41" t="str">
            <v>Residential</v>
          </cell>
          <cell r="W41"/>
          <cell r="X41">
            <v>52421</v>
          </cell>
          <cell r="Y41">
            <v>94695</v>
          </cell>
          <cell r="Z41">
            <v>133077</v>
          </cell>
          <cell r="AA41">
            <v>167698</v>
          </cell>
          <cell r="AB41">
            <v>187681.73746226507</v>
          </cell>
          <cell r="AC41">
            <v>204125.88976531307</v>
          </cell>
          <cell r="AD41">
            <v>219554.75333528093</v>
          </cell>
          <cell r="AE41">
            <v>233809.40325250753</v>
          </cell>
          <cell r="AF41">
            <v>247943.59353393706</v>
          </cell>
          <cell r="AG41">
            <v>266637.8188723342</v>
          </cell>
          <cell r="AH41">
            <v>293922.07245106628</v>
          </cell>
          <cell r="AI41">
            <v>333709.19875352998</v>
          </cell>
        </row>
        <row r="42">
          <cell r="A42">
            <v>39</v>
          </cell>
          <cell r="B42" t="str">
            <v>Commercial</v>
          </cell>
          <cell r="D42"/>
          <cell r="E42">
            <v>461002.04</v>
          </cell>
          <cell r="F42">
            <v>910694.8</v>
          </cell>
          <cell r="G42">
            <v>1354649.03</v>
          </cell>
          <cell r="H42">
            <v>1815341.8900000001</v>
          </cell>
          <cell r="I42">
            <v>2260190.37</v>
          </cell>
          <cell r="J42">
            <v>2692119.9639234589</v>
          </cell>
          <cell r="K42">
            <v>3125413.7607878079</v>
          </cell>
          <cell r="L42">
            <v>3532054.8163920538</v>
          </cell>
          <cell r="M42">
            <v>3962962.1101889182</v>
          </cell>
          <cell r="N42">
            <v>4415512.504579803</v>
          </cell>
          <cell r="O42">
            <v>4834542.7899045665</v>
          </cell>
          <cell r="P42">
            <v>5274821.3954163007</v>
          </cell>
          <cell r="T42">
            <v>39</v>
          </cell>
          <cell r="U42" t="str">
            <v>Commercial</v>
          </cell>
          <cell r="W42"/>
          <cell r="X42">
            <v>150373</v>
          </cell>
          <cell r="Y42">
            <v>269274</v>
          </cell>
          <cell r="Z42">
            <v>395071</v>
          </cell>
          <cell r="AA42">
            <v>513000</v>
          </cell>
          <cell r="AB42">
            <v>614835.4270133411</v>
          </cell>
          <cell r="AC42">
            <v>709970.78586035641</v>
          </cell>
          <cell r="AD42">
            <v>802976.23916642321</v>
          </cell>
          <cell r="AE42">
            <v>896679.22874671337</v>
          </cell>
          <cell r="AF42">
            <v>993251.63112279668</v>
          </cell>
          <cell r="AG42">
            <v>1104587.2042068359</v>
          </cell>
          <cell r="AH42">
            <v>1228659.4605122211</v>
          </cell>
          <cell r="AI42">
            <v>1672129.6133995519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856208.39</v>
          </cell>
          <cell r="F43">
            <v>1799462.26</v>
          </cell>
          <cell r="G43">
            <v>2761514.26</v>
          </cell>
          <cell r="H43">
            <v>3352460.0199999996</v>
          </cell>
          <cell r="I43">
            <v>4620684.97</v>
          </cell>
          <cell r="J43">
            <v>5534959.2907712534</v>
          </cell>
          <cell r="K43">
            <v>6667226.0158661995</v>
          </cell>
          <cell r="L43">
            <v>7330231.4691722663</v>
          </cell>
          <cell r="M43">
            <v>7973243.4469695203</v>
          </cell>
          <cell r="N43">
            <v>8761350.6628620122</v>
          </cell>
          <cell r="O43">
            <v>9578230.7875090074</v>
          </cell>
          <cell r="P43">
            <v>10714720.026967572</v>
          </cell>
          <cell r="T43">
            <v>40</v>
          </cell>
          <cell r="U43" t="str">
            <v xml:space="preserve">Industrial </v>
          </cell>
          <cell r="W43"/>
          <cell r="X43">
            <v>1372708</v>
          </cell>
          <cell r="Y43">
            <v>2534966</v>
          </cell>
          <cell r="Z43">
            <v>3630485</v>
          </cell>
          <cell r="AA43">
            <v>4657429</v>
          </cell>
          <cell r="AB43">
            <v>5919570.0069140131</v>
          </cell>
          <cell r="AC43">
            <v>6846780.2513389811</v>
          </cell>
          <cell r="AD43">
            <v>7826020.5863277819</v>
          </cell>
          <cell r="AE43">
            <v>8800935.1836595573</v>
          </cell>
          <cell r="AF43">
            <v>9602904.800954327</v>
          </cell>
          <cell r="AG43">
            <v>10375929.925114421</v>
          </cell>
          <cell r="AH43">
            <v>11323675.37257766</v>
          </cell>
          <cell r="AI43">
            <v>12287960.11305872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1360697.23</v>
          </cell>
          <cell r="F45">
            <v>2809163.48</v>
          </cell>
          <cell r="G45">
            <v>4253196.4682043046</v>
          </cell>
          <cell r="H45">
            <v>5335700.2182043036</v>
          </cell>
          <cell r="I45">
            <v>7066823.0182043035</v>
          </cell>
          <cell r="J45">
            <v>8428453.8488596752</v>
          </cell>
          <cell r="K45">
            <v>10009703.921895023</v>
          </cell>
          <cell r="L45">
            <v>11095611.60521375</v>
          </cell>
          <cell r="M45">
            <v>12184790.395748369</v>
          </cell>
          <cell r="N45">
            <v>13443253.050339859</v>
          </cell>
          <cell r="O45">
            <v>14701030.535976239</v>
          </cell>
          <cell r="P45">
            <v>16308186.539481934</v>
          </cell>
          <cell r="T45">
            <v>42</v>
          </cell>
          <cell r="U45" t="str">
            <v>Total customers</v>
          </cell>
          <cell r="V45"/>
          <cell r="W45"/>
          <cell r="X45">
            <v>1575502</v>
          </cell>
          <cell r="Y45">
            <v>2898935</v>
          </cell>
          <cell r="Z45">
            <v>4158633</v>
          </cell>
          <cell r="AA45">
            <v>5338127</v>
          </cell>
          <cell r="AB45">
            <v>6722087.1713896189</v>
          </cell>
          <cell r="AC45">
            <v>7760876.9269646509</v>
          </cell>
          <cell r="AD45">
            <v>8848551.5788294859</v>
          </cell>
          <cell r="AE45">
            <v>9931423.815658778</v>
          </cell>
          <cell r="AF45">
            <v>10844100.025611062</v>
          </cell>
          <cell r="AG45">
            <v>11747154.948193591</v>
          </cell>
          <cell r="AH45">
            <v>12846256.905540947</v>
          </cell>
          <cell r="AI45">
            <v>14293798.925211802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44657</v>
          </cell>
          <cell r="F48">
            <v>101670</v>
          </cell>
          <cell r="G48">
            <v>140720</v>
          </cell>
          <cell r="H48">
            <v>172415</v>
          </cell>
          <cell r="I48">
            <v>190950</v>
          </cell>
          <cell r="J48">
            <v>206792</v>
          </cell>
          <cell r="K48">
            <v>222904</v>
          </cell>
          <cell r="L48">
            <v>239603</v>
          </cell>
          <cell r="M48">
            <v>255273</v>
          </cell>
          <cell r="N48">
            <v>273557</v>
          </cell>
          <cell r="O48">
            <v>296012</v>
          </cell>
          <cell r="P48">
            <v>327218</v>
          </cell>
          <cell r="T48">
            <v>45</v>
          </cell>
          <cell r="U48" t="str">
            <v>Residential</v>
          </cell>
          <cell r="W48"/>
          <cell r="X48">
            <v>53831</v>
          </cell>
          <cell r="Y48">
            <v>97242</v>
          </cell>
          <cell r="Z48">
            <v>136656</v>
          </cell>
          <cell r="AA48">
            <v>172208</v>
          </cell>
          <cell r="AB48">
            <v>192729</v>
          </cell>
          <cell r="AC48">
            <v>209616</v>
          </cell>
          <cell r="AD48">
            <v>225460</v>
          </cell>
          <cell r="AE48">
            <v>240098</v>
          </cell>
          <cell r="AF48">
            <v>254612</v>
          </cell>
          <cell r="AG48">
            <v>273809</v>
          </cell>
          <cell r="AH48">
            <v>301827</v>
          </cell>
          <cell r="AI48">
            <v>342684</v>
          </cell>
        </row>
        <row r="49">
          <cell r="A49">
            <v>46</v>
          </cell>
          <cell r="B49" t="str">
            <v>Commercial</v>
          </cell>
          <cell r="D49"/>
          <cell r="E49">
            <v>473403</v>
          </cell>
          <cell r="F49">
            <v>935192</v>
          </cell>
          <cell r="G49">
            <v>1391089</v>
          </cell>
          <cell r="H49">
            <v>1864174</v>
          </cell>
          <cell r="I49">
            <v>2320989</v>
          </cell>
          <cell r="J49">
            <v>2764538</v>
          </cell>
          <cell r="K49">
            <v>3209487</v>
          </cell>
          <cell r="L49">
            <v>3627067</v>
          </cell>
          <cell r="M49">
            <v>4069566</v>
          </cell>
          <cell r="N49">
            <v>4534290</v>
          </cell>
          <cell r="O49">
            <v>4964592</v>
          </cell>
          <cell r="P49">
            <v>5416714</v>
          </cell>
          <cell r="T49">
            <v>46</v>
          </cell>
          <cell r="U49" t="str">
            <v>Commercial</v>
          </cell>
          <cell r="W49"/>
          <cell r="X49">
            <v>154418</v>
          </cell>
          <cell r="Y49">
            <v>276517</v>
          </cell>
          <cell r="Z49">
            <v>405698</v>
          </cell>
          <cell r="AA49">
            <v>526799</v>
          </cell>
          <cell r="AB49">
            <v>631374</v>
          </cell>
          <cell r="AC49">
            <v>729069</v>
          </cell>
          <cell r="AD49">
            <v>824576</v>
          </cell>
          <cell r="AE49">
            <v>920800</v>
          </cell>
          <cell r="AF49">
            <v>1019970</v>
          </cell>
          <cell r="AG49">
            <v>1134301</v>
          </cell>
          <cell r="AH49">
            <v>1261711</v>
          </cell>
          <cell r="AI49">
            <v>1717111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879240</v>
          </cell>
          <cell r="F50">
            <v>1847867</v>
          </cell>
          <cell r="G50">
            <v>2835798</v>
          </cell>
          <cell r="H50">
            <v>3442640</v>
          </cell>
          <cell r="I50">
            <v>4744980</v>
          </cell>
          <cell r="J50">
            <v>5683848</v>
          </cell>
          <cell r="K50">
            <v>6846573</v>
          </cell>
          <cell r="L50">
            <v>7527413</v>
          </cell>
          <cell r="M50">
            <v>8187722</v>
          </cell>
          <cell r="N50">
            <v>8997029</v>
          </cell>
          <cell r="O50">
            <v>9835883</v>
          </cell>
          <cell r="P50">
            <v>11002944</v>
          </cell>
          <cell r="T50">
            <v>47</v>
          </cell>
          <cell r="U50" t="str">
            <v xml:space="preserve">Industrial </v>
          </cell>
          <cell r="W50"/>
          <cell r="X50">
            <v>1409634</v>
          </cell>
          <cell r="Y50">
            <v>2603157</v>
          </cell>
          <cell r="Z50">
            <v>3728145</v>
          </cell>
          <cell r="AA50">
            <v>4782714</v>
          </cell>
          <cell r="AB50">
            <v>6078807</v>
          </cell>
          <cell r="AC50">
            <v>7030959</v>
          </cell>
          <cell r="AD50">
            <v>8036541</v>
          </cell>
          <cell r="AE50">
            <v>9037681</v>
          </cell>
          <cell r="AF50">
            <v>9861224</v>
          </cell>
          <cell r="AG50">
            <v>10655044</v>
          </cell>
          <cell r="AH50">
            <v>11628284</v>
          </cell>
          <cell r="AI50">
            <v>12618508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1397300</v>
          </cell>
          <cell r="F52">
            <v>2884729</v>
          </cell>
          <cell r="G52">
            <v>4367607</v>
          </cell>
          <cell r="H52">
            <v>5479229</v>
          </cell>
          <cell r="I52">
            <v>7256919</v>
          </cell>
          <cell r="J52">
            <v>8655178</v>
          </cell>
          <cell r="K52">
            <v>10278964</v>
          </cell>
          <cell r="L52">
            <v>11394083</v>
          </cell>
          <cell r="M52">
            <v>12512561</v>
          </cell>
          <cell r="N52">
            <v>13804876</v>
          </cell>
          <cell r="O52">
            <v>15096487</v>
          </cell>
          <cell r="P52">
            <v>16746876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1617883</v>
          </cell>
          <cell r="Y52">
            <v>2976916</v>
          </cell>
          <cell r="Z52">
            <v>4270499</v>
          </cell>
          <cell r="AA52">
            <v>5481721</v>
          </cell>
          <cell r="AB52">
            <v>6902910</v>
          </cell>
          <cell r="AC52">
            <v>7969644</v>
          </cell>
          <cell r="AD52">
            <v>9086577</v>
          </cell>
          <cell r="AE52">
            <v>10198579</v>
          </cell>
          <cell r="AF52">
            <v>11135806</v>
          </cell>
          <cell r="AG52">
            <v>12063154</v>
          </cell>
          <cell r="AH52">
            <v>13191822</v>
          </cell>
          <cell r="AI52">
            <v>14678303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16215</v>
          </cell>
          <cell r="F55">
            <v>16258</v>
          </cell>
          <cell r="G55">
            <v>16303</v>
          </cell>
          <cell r="H55">
            <v>16354</v>
          </cell>
          <cell r="I55">
            <v>16360</v>
          </cell>
          <cell r="J55">
            <v>16336</v>
          </cell>
          <cell r="K55">
            <v>16261</v>
          </cell>
          <cell r="L55">
            <v>16206</v>
          </cell>
          <cell r="M55">
            <v>16160</v>
          </cell>
          <cell r="N55">
            <v>16129</v>
          </cell>
          <cell r="O55">
            <v>16112</v>
          </cell>
          <cell r="P55">
            <v>16107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1208615.7366832213</v>
          </cell>
          <cell r="F56">
            <v>2237494.4980037003</v>
          </cell>
          <cell r="G56">
            <v>3189955.107605414</v>
          </cell>
          <cell r="H56">
            <v>4059652.4491187064</v>
          </cell>
          <cell r="I56">
            <v>5015604.2457882948</v>
          </cell>
          <cell r="J56">
            <v>5925670.1723634237</v>
          </cell>
          <cell r="K56">
            <v>6835872.4315902228</v>
          </cell>
          <cell r="L56">
            <v>7880935.7288927836</v>
          </cell>
          <cell r="M56">
            <v>8583501.7041581459</v>
          </cell>
          <cell r="N56">
            <v>9480141.7859577369</v>
          </cell>
          <cell r="O56">
            <v>10361329.438114714</v>
          </cell>
          <cell r="P56">
            <v>11349502.483201869</v>
          </cell>
        </row>
        <row r="57">
          <cell r="A57">
            <v>54</v>
          </cell>
          <cell r="B57" t="str">
            <v>Cumulative YTD Budget Volume (Dts) * 1.0269</v>
          </cell>
          <cell r="E57">
            <v>1241128</v>
          </cell>
          <cell r="F57">
            <v>2297684</v>
          </cell>
          <cell r="G57">
            <v>3275766</v>
          </cell>
          <cell r="H57">
            <v>4168858</v>
          </cell>
          <cell r="I57">
            <v>5150525</v>
          </cell>
          <cell r="J57">
            <v>6085072</v>
          </cell>
          <cell r="K57">
            <v>7019759</v>
          </cell>
          <cell r="L57">
            <v>8092935</v>
          </cell>
          <cell r="M57">
            <v>8814400</v>
          </cell>
          <cell r="N57">
            <v>9735160</v>
          </cell>
          <cell r="O57">
            <v>10640052</v>
          </cell>
          <cell r="P57">
            <v>11654807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52046</v>
          </cell>
          <cell r="D5">
            <v>624552</v>
          </cell>
          <cell r="E5">
            <v>51478</v>
          </cell>
          <cell r="F5">
            <v>51615</v>
          </cell>
          <cell r="G5">
            <v>51853</v>
          </cell>
          <cell r="H5">
            <v>52017</v>
          </cell>
          <cell r="I5">
            <v>51908</v>
          </cell>
          <cell r="J5">
            <v>51995</v>
          </cell>
          <cell r="K5">
            <v>52029</v>
          </cell>
          <cell r="L5">
            <v>52136</v>
          </cell>
          <cell r="M5">
            <v>52136</v>
          </cell>
          <cell r="N5">
            <v>52229</v>
          </cell>
          <cell r="O5">
            <v>52501</v>
          </cell>
          <cell r="P5">
            <v>52655</v>
          </cell>
          <cell r="T5">
            <v>2</v>
          </cell>
          <cell r="U5" t="str">
            <v>Residential</v>
          </cell>
          <cell r="V5"/>
          <cell r="W5"/>
          <cell r="X5">
            <v>50512</v>
          </cell>
          <cell r="Y5">
            <v>50676</v>
          </cell>
          <cell r="Z5">
            <v>50950</v>
          </cell>
          <cell r="AA5">
            <v>50996</v>
          </cell>
          <cell r="AB5">
            <v>50970</v>
          </cell>
          <cell r="AC5">
            <v>50850</v>
          </cell>
          <cell r="AD5">
            <v>50837</v>
          </cell>
          <cell r="AE5">
            <v>50574</v>
          </cell>
          <cell r="AF5">
            <v>50661</v>
          </cell>
          <cell r="AG5">
            <v>50749</v>
          </cell>
          <cell r="AH5">
            <v>50962</v>
          </cell>
          <cell r="AI5">
            <v>51280</v>
          </cell>
        </row>
        <row r="6">
          <cell r="A6">
            <v>3</v>
          </cell>
          <cell r="B6" t="str">
            <v>Commercial</v>
          </cell>
          <cell r="C6">
            <v>4249</v>
          </cell>
          <cell r="D6">
            <v>50982</v>
          </cell>
          <cell r="E6">
            <v>4270</v>
          </cell>
          <cell r="F6">
            <v>4287</v>
          </cell>
          <cell r="G6">
            <v>4306</v>
          </cell>
          <cell r="H6">
            <v>4281</v>
          </cell>
          <cell r="I6">
            <v>4264</v>
          </cell>
          <cell r="J6">
            <v>4246</v>
          </cell>
          <cell r="K6">
            <v>4234</v>
          </cell>
          <cell r="L6">
            <v>4223</v>
          </cell>
          <cell r="M6">
            <v>4211</v>
          </cell>
          <cell r="N6">
            <v>4201</v>
          </cell>
          <cell r="O6">
            <v>4230</v>
          </cell>
          <cell r="P6">
            <v>4229</v>
          </cell>
          <cell r="T6">
            <v>3</v>
          </cell>
          <cell r="U6" t="str">
            <v>Commercial</v>
          </cell>
          <cell r="V6"/>
          <cell r="W6"/>
          <cell r="X6">
            <v>4401</v>
          </cell>
          <cell r="Y6">
            <v>4413</v>
          </cell>
          <cell r="Z6">
            <v>4431</v>
          </cell>
          <cell r="AA6">
            <v>4420</v>
          </cell>
          <cell r="AB6">
            <v>4390</v>
          </cell>
          <cell r="AC6">
            <v>4365</v>
          </cell>
          <cell r="AD6">
            <v>4364</v>
          </cell>
          <cell r="AE6">
            <v>4341</v>
          </cell>
          <cell r="AF6">
            <v>4325</v>
          </cell>
          <cell r="AG6">
            <v>4330</v>
          </cell>
          <cell r="AH6">
            <v>4317</v>
          </cell>
          <cell r="AI6">
            <v>4320</v>
          </cell>
        </row>
        <row r="7">
          <cell r="A7">
            <v>4</v>
          </cell>
          <cell r="B7" t="str">
            <v xml:space="preserve">Industrial </v>
          </cell>
          <cell r="C7">
            <v>1633</v>
          </cell>
          <cell r="D7">
            <v>19592</v>
          </cell>
          <cell r="E7">
            <v>1527</v>
          </cell>
          <cell r="F7">
            <v>1546</v>
          </cell>
          <cell r="G7">
            <v>1564</v>
          </cell>
          <cell r="H7">
            <v>1587</v>
          </cell>
          <cell r="I7">
            <v>1607</v>
          </cell>
          <cell r="J7">
            <v>1631</v>
          </cell>
          <cell r="K7">
            <v>1643</v>
          </cell>
          <cell r="L7">
            <v>1657</v>
          </cell>
          <cell r="M7">
            <v>1690</v>
          </cell>
          <cell r="N7">
            <v>1706</v>
          </cell>
          <cell r="O7">
            <v>1717</v>
          </cell>
          <cell r="P7">
            <v>1717</v>
          </cell>
          <cell r="T7">
            <v>4</v>
          </cell>
          <cell r="U7" t="str">
            <v>Industrial firm</v>
          </cell>
          <cell r="V7"/>
          <cell r="W7"/>
          <cell r="X7">
            <v>1205</v>
          </cell>
          <cell r="Y7">
            <v>1222</v>
          </cell>
          <cell r="Z7">
            <v>1235</v>
          </cell>
          <cell r="AA7">
            <v>1249</v>
          </cell>
          <cell r="AB7">
            <v>1277</v>
          </cell>
          <cell r="AC7">
            <v>1292</v>
          </cell>
          <cell r="AD7">
            <v>1310</v>
          </cell>
          <cell r="AE7">
            <v>1344</v>
          </cell>
          <cell r="AF7">
            <v>1387</v>
          </cell>
          <cell r="AG7">
            <v>1423</v>
          </cell>
          <cell r="AH7">
            <v>1437</v>
          </cell>
          <cell r="AI7">
            <v>1470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/>
        </row>
        <row r="9">
          <cell r="A9">
            <v>6</v>
          </cell>
          <cell r="B9" t="str">
            <v>Total customers</v>
          </cell>
          <cell r="C9">
            <v>57928</v>
          </cell>
          <cell r="D9">
            <v>695126</v>
          </cell>
          <cell r="E9">
            <v>57275</v>
          </cell>
          <cell r="F9">
            <v>57448</v>
          </cell>
          <cell r="G9">
            <v>57723</v>
          </cell>
          <cell r="H9">
            <v>57885</v>
          </cell>
          <cell r="I9">
            <v>57779</v>
          </cell>
          <cell r="J9">
            <v>57872</v>
          </cell>
          <cell r="K9">
            <v>57906</v>
          </cell>
          <cell r="L9">
            <v>58016</v>
          </cell>
          <cell r="M9">
            <v>58037</v>
          </cell>
          <cell r="N9">
            <v>58136</v>
          </cell>
          <cell r="O9">
            <v>58448</v>
          </cell>
          <cell r="P9">
            <v>58601</v>
          </cell>
          <cell r="T9">
            <v>6</v>
          </cell>
          <cell r="U9" t="str">
            <v>Total customers</v>
          </cell>
          <cell r="V9"/>
          <cell r="W9"/>
          <cell r="X9">
            <v>56118</v>
          </cell>
          <cell r="Y9">
            <v>56311</v>
          </cell>
          <cell r="Z9">
            <v>56616</v>
          </cell>
          <cell r="AA9">
            <v>56665</v>
          </cell>
          <cell r="AB9">
            <v>56637</v>
          </cell>
          <cell r="AC9">
            <v>56507</v>
          </cell>
          <cell r="AD9">
            <v>56511</v>
          </cell>
          <cell r="AE9">
            <v>56259</v>
          </cell>
          <cell r="AF9">
            <v>56373</v>
          </cell>
          <cell r="AG9">
            <v>56502</v>
          </cell>
          <cell r="AH9">
            <v>56716</v>
          </cell>
          <cell r="AI9">
            <v>57070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- 2015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1215133.0395364724</v>
          </cell>
          <cell r="E12">
            <v>172785.19330022397</v>
          </cell>
          <cell r="F12">
            <v>186091.1539585159</v>
          </cell>
          <cell r="G12">
            <v>142599.10896874429</v>
          </cell>
          <cell r="H12">
            <v>105427.84789171293</v>
          </cell>
          <cell r="I12">
            <v>79997.259713701438</v>
          </cell>
          <cell r="J12">
            <v>66233.031453890348</v>
          </cell>
          <cell r="K12">
            <v>64473</v>
          </cell>
          <cell r="L12">
            <v>62570</v>
          </cell>
          <cell r="M12">
            <v>64969</v>
          </cell>
          <cell r="N12">
            <v>67082.48125426039</v>
          </cell>
          <cell r="O12">
            <v>84019.96299542312</v>
          </cell>
          <cell r="P12">
            <v>118885</v>
          </cell>
          <cell r="T12">
            <v>9</v>
          </cell>
          <cell r="U12" t="str">
            <v>Residential</v>
          </cell>
          <cell r="V12"/>
          <cell r="W12">
            <v>1248047.266335573</v>
          </cell>
          <cell r="X12">
            <v>171895</v>
          </cell>
          <cell r="Y12">
            <v>166968</v>
          </cell>
          <cell r="Z12">
            <v>132612</v>
          </cell>
          <cell r="AA12">
            <v>116118</v>
          </cell>
          <cell r="AB12">
            <v>85176</v>
          </cell>
          <cell r="AC12">
            <v>71965</v>
          </cell>
          <cell r="AD12">
            <v>66923</v>
          </cell>
          <cell r="AE12">
            <v>57900.266335573084</v>
          </cell>
          <cell r="AF12">
            <v>62793</v>
          </cell>
          <cell r="AG12">
            <v>67838</v>
          </cell>
          <cell r="AH12">
            <v>95618</v>
          </cell>
          <cell r="AI12">
            <v>152241</v>
          </cell>
        </row>
        <row r="13">
          <cell r="A13">
            <v>10</v>
          </cell>
          <cell r="B13" t="str">
            <v>Commercial</v>
          </cell>
          <cell r="D13">
            <v>2354482.4883630341</v>
          </cell>
          <cell r="E13">
            <v>256252.56500146046</v>
          </cell>
          <cell r="F13">
            <v>298732.63414159114</v>
          </cell>
          <cell r="G13">
            <v>259924.54669393311</v>
          </cell>
          <cell r="H13">
            <v>216058.59382607846</v>
          </cell>
          <cell r="I13">
            <v>194466.8770084721</v>
          </cell>
          <cell r="J13">
            <v>154507.35222514364</v>
          </cell>
          <cell r="K13">
            <v>155806</v>
          </cell>
          <cell r="L13">
            <v>153768</v>
          </cell>
          <cell r="M13">
            <v>147152</v>
          </cell>
          <cell r="N13">
            <v>157801.34287661893</v>
          </cell>
          <cell r="O13">
            <v>164491.5765897361</v>
          </cell>
          <cell r="P13">
            <v>195521</v>
          </cell>
          <cell r="T13">
            <v>10</v>
          </cell>
          <cell r="U13" t="str">
            <v>Commercial</v>
          </cell>
          <cell r="W13">
            <v>2528529.3482325445</v>
          </cell>
          <cell r="X13">
            <v>274480</v>
          </cell>
          <cell r="Y13">
            <v>260343</v>
          </cell>
          <cell r="Z13">
            <v>244370</v>
          </cell>
          <cell r="AA13">
            <v>227857</v>
          </cell>
          <cell r="AB13">
            <v>197949</v>
          </cell>
          <cell r="AC13">
            <v>179082</v>
          </cell>
          <cell r="AD13">
            <v>184305</v>
          </cell>
          <cell r="AE13">
            <v>158651.34823254452</v>
          </cell>
          <cell r="AF13">
            <v>161825</v>
          </cell>
          <cell r="AG13">
            <v>179455</v>
          </cell>
          <cell r="AH13">
            <v>208256</v>
          </cell>
          <cell r="AI13">
            <v>251956</v>
          </cell>
        </row>
        <row r="14">
          <cell r="A14">
            <v>11</v>
          </cell>
          <cell r="B14" t="str">
            <v xml:space="preserve">Industrial </v>
          </cell>
          <cell r="D14">
            <v>3883435.7124354853</v>
          </cell>
          <cell r="E14">
            <v>386113.98383484263</v>
          </cell>
          <cell r="F14">
            <v>384250.05453306064</v>
          </cell>
          <cell r="G14">
            <v>329808.98724315915</v>
          </cell>
          <cell r="H14">
            <v>333215.32671146165</v>
          </cell>
          <cell r="I14">
            <v>323122.11510371015</v>
          </cell>
          <cell r="J14">
            <v>341124.84175674361</v>
          </cell>
          <cell r="K14">
            <v>288410</v>
          </cell>
          <cell r="L14">
            <v>290724</v>
          </cell>
          <cell r="M14">
            <v>279330</v>
          </cell>
          <cell r="N14">
            <v>290538.0338884017</v>
          </cell>
          <cell r="O14">
            <v>304603.36936410557</v>
          </cell>
          <cell r="P14">
            <v>332195</v>
          </cell>
          <cell r="T14">
            <v>11</v>
          </cell>
          <cell r="U14" t="str">
            <v>Industrial firm</v>
          </cell>
          <cell r="W14">
            <v>3741292.618658097</v>
          </cell>
          <cell r="X14">
            <v>480557</v>
          </cell>
          <cell r="Y14">
            <v>313583</v>
          </cell>
          <cell r="Z14">
            <v>305299</v>
          </cell>
          <cell r="AA14">
            <v>401946</v>
          </cell>
          <cell r="AB14">
            <v>318946</v>
          </cell>
          <cell r="AC14">
            <v>269392</v>
          </cell>
          <cell r="AD14">
            <v>260392</v>
          </cell>
          <cell r="AE14">
            <v>255669.61865809717</v>
          </cell>
          <cell r="AF14">
            <v>248203</v>
          </cell>
          <cell r="AG14">
            <v>265190</v>
          </cell>
          <cell r="AH14">
            <v>307016</v>
          </cell>
          <cell r="AI14">
            <v>315099</v>
          </cell>
        </row>
        <row r="15">
          <cell r="A15">
            <v>12</v>
          </cell>
          <cell r="B15" t="str">
            <v>Other</v>
          </cell>
          <cell r="D15">
            <v>-82543.286785470831</v>
          </cell>
          <cell r="E15">
            <v>-36603.919466355052</v>
          </cell>
          <cell r="F15">
            <v>-5692.0294089005747</v>
          </cell>
          <cell r="G15">
            <v>-37124.786931541537</v>
          </cell>
          <cell r="H15">
            <v>43386.992112182299</v>
          </cell>
          <cell r="I15">
            <v>493.75654883630341</v>
          </cell>
          <cell r="J15">
            <v>-70247.684876813713</v>
          </cell>
          <cell r="K15">
            <v>-30630.11442204694</v>
          </cell>
          <cell r="L15">
            <v>14758.5492258253</v>
          </cell>
          <cell r="M15">
            <v>-26000.411335086184</v>
          </cell>
          <cell r="N15">
            <v>41383.192131658398</v>
          </cell>
          <cell r="O15">
            <v>22882.169636770865</v>
          </cell>
          <cell r="P15">
            <v>851</v>
          </cell>
          <cell r="T15">
            <v>12</v>
          </cell>
          <cell r="U15" t="str">
            <v>Other</v>
          </cell>
          <cell r="W15">
            <v>33550.189891907692</v>
          </cell>
          <cell r="X15">
            <v>-18024.150355438702</v>
          </cell>
          <cell r="Y15">
            <v>-19706.884798909341</v>
          </cell>
          <cell r="Z15">
            <v>8511.0526828318252</v>
          </cell>
          <cell r="AA15">
            <v>-31104.294478527609</v>
          </cell>
          <cell r="AB15">
            <v>-3908.8518843120073</v>
          </cell>
          <cell r="AC15">
            <v>-16359.918200409</v>
          </cell>
          <cell r="AD15">
            <v>-25947.998831434415</v>
          </cell>
          <cell r="AE15">
            <v>26885.47083455059</v>
          </cell>
          <cell r="AF15">
            <v>-15741.55224461973</v>
          </cell>
          <cell r="AG15">
            <v>13365.46888694128</v>
          </cell>
          <cell r="AH15">
            <v>69941.571720712833</v>
          </cell>
          <cell r="AI15">
            <v>45640.276560521961</v>
          </cell>
        </row>
        <row r="16">
          <cell r="A16">
            <v>13</v>
          </cell>
          <cell r="B16" t="str">
            <v>Total Deliveries</v>
          </cell>
          <cell r="C16"/>
          <cell r="D16">
            <v>7370507.9535495201</v>
          </cell>
          <cell r="E16">
            <v>778547.82267017209</v>
          </cell>
          <cell r="F16">
            <v>863381.81322426721</v>
          </cell>
          <cell r="G16">
            <v>695207.85597429494</v>
          </cell>
          <cell r="H16">
            <v>698088.76054143533</v>
          </cell>
          <cell r="I16">
            <v>598080.00837472011</v>
          </cell>
          <cell r="J16">
            <v>491617.54055896384</v>
          </cell>
          <cell r="K16">
            <v>478058.88557795307</v>
          </cell>
          <cell r="L16">
            <v>521820.54922582529</v>
          </cell>
          <cell r="M16">
            <v>465450.58866491384</v>
          </cell>
          <cell r="N16">
            <v>556805.05015093938</v>
          </cell>
          <cell r="O16">
            <v>575997.07858603564</v>
          </cell>
          <cell r="P16">
            <v>647452</v>
          </cell>
          <cell r="T16">
            <v>13</v>
          </cell>
          <cell r="U16" t="str">
            <v>Total Deliveries</v>
          </cell>
          <cell r="V16"/>
          <cell r="W16">
            <v>7551419.4231181219</v>
          </cell>
          <cell r="X16">
            <v>908907.8496445613</v>
          </cell>
          <cell r="Y16">
            <v>721187.1152010907</v>
          </cell>
          <cell r="Z16">
            <v>690792.05268283188</v>
          </cell>
          <cell r="AA16">
            <v>714816.70552147238</v>
          </cell>
          <cell r="AB16">
            <v>598162.148115688</v>
          </cell>
          <cell r="AC16">
            <v>504079.08179959102</v>
          </cell>
          <cell r="AD16">
            <v>485672.00116856559</v>
          </cell>
          <cell r="AE16">
            <v>499106.70406076533</v>
          </cell>
          <cell r="AF16">
            <v>457079.44775538024</v>
          </cell>
          <cell r="AG16">
            <v>525848.46888694132</v>
          </cell>
          <cell r="AH16">
            <v>680831.57172071282</v>
          </cell>
          <cell r="AI16">
            <v>764936.27656052192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50747</v>
          </cell>
          <cell r="D21">
            <v>608958</v>
          </cell>
          <cell r="E21">
            <v>50149</v>
          </cell>
          <cell r="F21">
            <v>50287</v>
          </cell>
          <cell r="G21">
            <v>50518</v>
          </cell>
          <cell r="H21">
            <v>50689</v>
          </cell>
          <cell r="I21">
            <v>50593</v>
          </cell>
          <cell r="J21">
            <v>50687</v>
          </cell>
          <cell r="K21">
            <v>50739</v>
          </cell>
          <cell r="L21">
            <v>50856</v>
          </cell>
          <cell r="M21">
            <v>50867</v>
          </cell>
          <cell r="N21">
            <v>50954</v>
          </cell>
          <cell r="O21">
            <v>51231</v>
          </cell>
          <cell r="P21">
            <v>51388</v>
          </cell>
          <cell r="T21">
            <v>18</v>
          </cell>
          <cell r="U21" t="str">
            <v>Residential</v>
          </cell>
          <cell r="V21"/>
          <cell r="W21"/>
          <cell r="X21">
            <v>49122</v>
          </cell>
          <cell r="Y21">
            <v>49295</v>
          </cell>
          <cell r="Z21">
            <v>49571</v>
          </cell>
          <cell r="AA21">
            <v>49634</v>
          </cell>
          <cell r="AB21">
            <v>49645</v>
          </cell>
          <cell r="AC21">
            <v>49546</v>
          </cell>
          <cell r="AD21">
            <v>49545</v>
          </cell>
          <cell r="AE21">
            <v>49293</v>
          </cell>
          <cell r="AF21">
            <v>49380</v>
          </cell>
          <cell r="AG21">
            <v>49464</v>
          </cell>
          <cell r="AH21">
            <v>49667</v>
          </cell>
          <cell r="AI21">
            <v>49956</v>
          </cell>
        </row>
        <row r="22">
          <cell r="A22">
            <v>19</v>
          </cell>
          <cell r="B22" t="str">
            <v>Commercial Small</v>
          </cell>
          <cell r="C22">
            <v>3326</v>
          </cell>
          <cell r="D22">
            <v>39911</v>
          </cell>
          <cell r="E22">
            <v>3344</v>
          </cell>
          <cell r="F22">
            <v>3347</v>
          </cell>
          <cell r="G22">
            <v>3340</v>
          </cell>
          <cell r="H22">
            <v>3334</v>
          </cell>
          <cell r="I22">
            <v>3329</v>
          </cell>
          <cell r="J22">
            <v>3311</v>
          </cell>
          <cell r="K22">
            <v>3313</v>
          </cell>
          <cell r="L22">
            <v>3311</v>
          </cell>
          <cell r="M22">
            <v>3308</v>
          </cell>
          <cell r="N22">
            <v>3304</v>
          </cell>
          <cell r="O22">
            <v>3336</v>
          </cell>
          <cell r="P22">
            <v>3334</v>
          </cell>
          <cell r="T22">
            <v>19</v>
          </cell>
          <cell r="U22" t="str">
            <v>Commercial Small</v>
          </cell>
          <cell r="X22">
            <v>3298</v>
          </cell>
          <cell r="Y22">
            <v>3308</v>
          </cell>
          <cell r="Z22">
            <v>3324</v>
          </cell>
          <cell r="AA22">
            <v>3322</v>
          </cell>
          <cell r="AB22">
            <v>3303</v>
          </cell>
          <cell r="AC22">
            <v>3298</v>
          </cell>
          <cell r="AD22">
            <v>3315</v>
          </cell>
          <cell r="AE22">
            <v>3311</v>
          </cell>
          <cell r="AF22">
            <v>3310</v>
          </cell>
          <cell r="AG22">
            <v>3321</v>
          </cell>
          <cell r="AH22">
            <v>3335</v>
          </cell>
          <cell r="AI22">
            <v>3351</v>
          </cell>
        </row>
        <row r="23">
          <cell r="A23">
            <v>20</v>
          </cell>
          <cell r="B23" t="str">
            <v>Commercial Large</v>
          </cell>
          <cell r="C23">
            <v>834</v>
          </cell>
          <cell r="D23">
            <v>10013</v>
          </cell>
          <cell r="E23">
            <v>883</v>
          </cell>
          <cell r="F23">
            <v>867</v>
          </cell>
          <cell r="G23">
            <v>855</v>
          </cell>
          <cell r="H23">
            <v>855</v>
          </cell>
          <cell r="I23">
            <v>843</v>
          </cell>
          <cell r="J23">
            <v>843</v>
          </cell>
          <cell r="K23">
            <v>829</v>
          </cell>
          <cell r="L23">
            <v>819</v>
          </cell>
          <cell r="M23">
            <v>810</v>
          </cell>
          <cell r="N23">
            <v>804</v>
          </cell>
          <cell r="O23">
            <v>802</v>
          </cell>
          <cell r="P23">
            <v>803</v>
          </cell>
          <cell r="T23">
            <v>20</v>
          </cell>
          <cell r="U23" t="str">
            <v>Commercial Large</v>
          </cell>
          <cell r="X23">
            <v>1005</v>
          </cell>
          <cell r="Y23">
            <v>1008</v>
          </cell>
          <cell r="Z23">
            <v>1011</v>
          </cell>
          <cell r="AA23">
            <v>1004</v>
          </cell>
          <cell r="AB23">
            <v>993</v>
          </cell>
          <cell r="AC23">
            <v>975</v>
          </cell>
          <cell r="AD23">
            <v>958</v>
          </cell>
          <cell r="AE23">
            <v>943</v>
          </cell>
          <cell r="AF23">
            <v>928</v>
          </cell>
          <cell r="AG23">
            <v>922</v>
          </cell>
          <cell r="AH23">
            <v>893</v>
          </cell>
          <cell r="AI23">
            <v>894</v>
          </cell>
        </row>
        <row r="24">
          <cell r="A24">
            <v>21</v>
          </cell>
          <cell r="B24" t="str">
            <v>Outdoor Lights</v>
          </cell>
          <cell r="C24">
            <v>59</v>
          </cell>
          <cell r="D24">
            <v>712</v>
          </cell>
          <cell r="E24">
            <v>14</v>
          </cell>
          <cell r="F24">
            <v>44</v>
          </cell>
          <cell r="G24">
            <v>82</v>
          </cell>
          <cell r="H24">
            <v>63</v>
          </cell>
          <cell r="I24">
            <v>63</v>
          </cell>
          <cell r="J24">
            <v>63</v>
          </cell>
          <cell r="K24">
            <v>63</v>
          </cell>
          <cell r="L24">
            <v>64</v>
          </cell>
          <cell r="M24">
            <v>64</v>
          </cell>
          <cell r="N24">
            <v>64</v>
          </cell>
          <cell r="O24">
            <v>64</v>
          </cell>
          <cell r="P24">
            <v>64</v>
          </cell>
          <cell r="T24">
            <v>21</v>
          </cell>
          <cell r="U24" t="str">
            <v>Outdoor Lights</v>
          </cell>
          <cell r="X24">
            <v>44</v>
          </cell>
          <cell r="Y24">
            <v>43</v>
          </cell>
          <cell r="Z24">
            <v>41</v>
          </cell>
          <cell r="AA24">
            <v>41</v>
          </cell>
          <cell r="AB24">
            <v>41</v>
          </cell>
          <cell r="AC24">
            <v>39</v>
          </cell>
          <cell r="AD24">
            <v>39</v>
          </cell>
          <cell r="AE24">
            <v>38</v>
          </cell>
          <cell r="AF24">
            <v>38</v>
          </cell>
          <cell r="AG24">
            <v>38</v>
          </cell>
          <cell r="AH24">
            <v>37</v>
          </cell>
          <cell r="AI24">
            <v>25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/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/>
          <cell r="O25">
            <v>0</v>
          </cell>
          <cell r="P25">
            <v>0</v>
          </cell>
          <cell r="T25">
            <v>22</v>
          </cell>
          <cell r="U25" t="str">
            <v>Interdepartmental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/>
        </row>
        <row r="26">
          <cell r="A26">
            <v>23</v>
          </cell>
          <cell r="B26" t="str">
            <v>Commercial Small Transp</v>
          </cell>
          <cell r="C26">
            <v>622</v>
          </cell>
          <cell r="D26">
            <v>7468</v>
          </cell>
          <cell r="E26">
            <v>556</v>
          </cell>
          <cell r="F26">
            <v>568</v>
          </cell>
          <cell r="G26">
            <v>580</v>
          </cell>
          <cell r="H26">
            <v>594</v>
          </cell>
          <cell r="I26">
            <v>605</v>
          </cell>
          <cell r="J26">
            <v>623</v>
          </cell>
          <cell r="K26">
            <v>628</v>
          </cell>
          <cell r="L26">
            <v>634</v>
          </cell>
          <cell r="M26">
            <v>660</v>
          </cell>
          <cell r="N26">
            <v>667</v>
          </cell>
          <cell r="O26">
            <v>676</v>
          </cell>
          <cell r="P26">
            <v>677</v>
          </cell>
          <cell r="T26">
            <v>23</v>
          </cell>
          <cell r="U26" t="str">
            <v>Commercial Small Transp</v>
          </cell>
          <cell r="X26">
            <v>410</v>
          </cell>
          <cell r="Y26">
            <v>420</v>
          </cell>
          <cell r="Z26">
            <v>428</v>
          </cell>
          <cell r="AA26">
            <v>435</v>
          </cell>
          <cell r="AB26">
            <v>453</v>
          </cell>
          <cell r="AC26">
            <v>461</v>
          </cell>
          <cell r="AD26">
            <v>467</v>
          </cell>
          <cell r="AE26">
            <v>482</v>
          </cell>
          <cell r="AF26">
            <v>508</v>
          </cell>
          <cell r="AG26">
            <v>517</v>
          </cell>
          <cell r="AH26">
            <v>523</v>
          </cell>
          <cell r="AI26">
            <v>540</v>
          </cell>
        </row>
        <row r="27">
          <cell r="A27">
            <v>24</v>
          </cell>
          <cell r="B27" t="str">
            <v>Commercial Large Transp</v>
          </cell>
          <cell r="C27">
            <v>969</v>
          </cell>
          <cell r="D27">
            <v>11626</v>
          </cell>
          <cell r="E27">
            <v>930</v>
          </cell>
          <cell r="F27">
            <v>935</v>
          </cell>
          <cell r="G27">
            <v>942</v>
          </cell>
          <cell r="H27">
            <v>951</v>
          </cell>
          <cell r="I27">
            <v>960</v>
          </cell>
          <cell r="J27">
            <v>966</v>
          </cell>
          <cell r="K27">
            <v>973</v>
          </cell>
          <cell r="L27">
            <v>982</v>
          </cell>
          <cell r="M27">
            <v>989</v>
          </cell>
          <cell r="N27">
            <v>999</v>
          </cell>
          <cell r="O27">
            <v>1000</v>
          </cell>
          <cell r="P27">
            <v>999</v>
          </cell>
          <cell r="T27">
            <v>24</v>
          </cell>
          <cell r="U27" t="str">
            <v>Commercial Large Transp</v>
          </cell>
          <cell r="X27">
            <v>777</v>
          </cell>
          <cell r="Y27">
            <v>784</v>
          </cell>
          <cell r="Z27">
            <v>789</v>
          </cell>
          <cell r="AA27">
            <v>796</v>
          </cell>
          <cell r="AB27">
            <v>806</v>
          </cell>
          <cell r="AC27">
            <v>813</v>
          </cell>
          <cell r="AD27">
            <v>827</v>
          </cell>
          <cell r="AE27">
            <v>844</v>
          </cell>
          <cell r="AF27">
            <v>861</v>
          </cell>
          <cell r="AG27">
            <v>888</v>
          </cell>
          <cell r="AH27">
            <v>895</v>
          </cell>
          <cell r="AI27">
            <v>911</v>
          </cell>
        </row>
        <row r="28">
          <cell r="A28">
            <v>25</v>
          </cell>
          <cell r="B28" t="str">
            <v>Interruptible Transp</v>
          </cell>
          <cell r="C28">
            <v>17</v>
          </cell>
          <cell r="D28">
            <v>203</v>
          </cell>
          <cell r="E28">
            <v>17</v>
          </cell>
          <cell r="F28">
            <v>17</v>
          </cell>
          <cell r="G28">
            <v>17</v>
          </cell>
          <cell r="H28">
            <v>17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16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16</v>
          </cell>
          <cell r="AC28">
            <v>16</v>
          </cell>
          <cell r="AD28">
            <v>14</v>
          </cell>
          <cell r="AE28">
            <v>16</v>
          </cell>
          <cell r="AF28">
            <v>16</v>
          </cell>
          <cell r="AG28">
            <v>16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678891</v>
          </cell>
          <cell r="E30">
            <v>55893</v>
          </cell>
          <cell r="F30">
            <v>56065</v>
          </cell>
          <cell r="G30">
            <v>56334</v>
          </cell>
          <cell r="H30">
            <v>56503</v>
          </cell>
          <cell r="I30">
            <v>56410</v>
          </cell>
          <cell r="J30">
            <v>56510</v>
          </cell>
          <cell r="K30">
            <v>56562</v>
          </cell>
          <cell r="L30">
            <v>56683</v>
          </cell>
          <cell r="M30">
            <v>56715</v>
          </cell>
          <cell r="N30">
            <v>56808</v>
          </cell>
          <cell r="O30">
            <v>57126</v>
          </cell>
          <cell r="P30">
            <v>57282</v>
          </cell>
          <cell r="T30">
            <v>27</v>
          </cell>
          <cell r="V30"/>
          <cell r="W30"/>
          <cell r="X30">
            <v>54672</v>
          </cell>
          <cell r="Y30">
            <v>54874</v>
          </cell>
          <cell r="Z30">
            <v>55180</v>
          </cell>
          <cell r="AA30">
            <v>55248</v>
          </cell>
          <cell r="AB30">
            <v>55257</v>
          </cell>
          <cell r="AC30">
            <v>55148</v>
          </cell>
          <cell r="AD30">
            <v>55165</v>
          </cell>
          <cell r="AE30">
            <v>54927</v>
          </cell>
          <cell r="AF30">
            <v>55041</v>
          </cell>
          <cell r="AG30">
            <v>55166</v>
          </cell>
          <cell r="AH30">
            <v>55367</v>
          </cell>
          <cell r="AI30">
            <v>55694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1196318.9823741391</v>
          </cell>
          <cell r="E33">
            <v>170568.79735125133</v>
          </cell>
          <cell r="F33">
            <v>183764.99756548836</v>
          </cell>
          <cell r="G33">
            <v>140595.70162625719</v>
          </cell>
          <cell r="H33">
            <v>103925.21180251242</v>
          </cell>
          <cell r="I33">
            <v>78639.205375401696</v>
          </cell>
          <cell r="J33">
            <v>64977.992014801828</v>
          </cell>
          <cell r="K33">
            <v>63142</v>
          </cell>
          <cell r="L33">
            <v>61282</v>
          </cell>
          <cell r="M33">
            <v>63650</v>
          </cell>
          <cell r="N33">
            <v>65813.419028142947</v>
          </cell>
          <cell r="O33">
            <v>82763.657610283379</v>
          </cell>
          <cell r="P33">
            <v>117196</v>
          </cell>
          <cell r="T33">
            <v>30</v>
          </cell>
          <cell r="U33" t="str">
            <v>Residential</v>
          </cell>
          <cell r="V33"/>
          <cell r="W33"/>
          <cell r="X33">
            <v>169361</v>
          </cell>
          <cell r="Y33">
            <v>164706</v>
          </cell>
          <cell r="Z33">
            <v>130840</v>
          </cell>
          <cell r="AA33">
            <v>114318</v>
          </cell>
          <cell r="AB33">
            <v>83663</v>
          </cell>
          <cell r="AC33">
            <v>70623</v>
          </cell>
          <cell r="AD33">
            <v>65529</v>
          </cell>
          <cell r="AE33">
            <v>56685.266335573084</v>
          </cell>
          <cell r="AF33">
            <v>61436</v>
          </cell>
          <cell r="AG33">
            <v>66489</v>
          </cell>
          <cell r="AH33">
            <v>94127</v>
          </cell>
          <cell r="AI33">
            <v>150104</v>
          </cell>
        </row>
        <row r="34">
          <cell r="A34">
            <v>31</v>
          </cell>
          <cell r="B34" t="str">
            <v>Commercial Small</v>
          </cell>
          <cell r="D34">
            <v>852450.25309182936</v>
          </cell>
          <cell r="E34">
            <v>96127.238289998801</v>
          </cell>
          <cell r="F34">
            <v>104694.05687019184</v>
          </cell>
          <cell r="G34">
            <v>87893.286590709802</v>
          </cell>
          <cell r="H34">
            <v>74319.992209562755</v>
          </cell>
          <cell r="I34">
            <v>61978.089395267307</v>
          </cell>
          <cell r="J34">
            <v>56001.363326516701</v>
          </cell>
          <cell r="K34">
            <v>57336</v>
          </cell>
          <cell r="L34">
            <v>54399</v>
          </cell>
          <cell r="M34">
            <v>59533</v>
          </cell>
          <cell r="N34">
            <v>57368.464310059382</v>
          </cell>
          <cell r="O34">
            <v>64246.762099522835</v>
          </cell>
          <cell r="P34">
            <v>78553</v>
          </cell>
          <cell r="T34">
            <v>31</v>
          </cell>
          <cell r="U34" t="str">
            <v>Commercial Small</v>
          </cell>
          <cell r="X34">
            <v>96474</v>
          </cell>
          <cell r="Y34">
            <v>93006</v>
          </cell>
          <cell r="Z34">
            <v>83773</v>
          </cell>
          <cell r="AA34">
            <v>78454</v>
          </cell>
          <cell r="AB34">
            <v>65499</v>
          </cell>
          <cell r="AC34">
            <v>59915</v>
          </cell>
          <cell r="AD34">
            <v>59080</v>
          </cell>
          <cell r="AE34">
            <v>53036.324861232832</v>
          </cell>
          <cell r="AF34">
            <v>55851</v>
          </cell>
          <cell r="AG34">
            <v>61221</v>
          </cell>
          <cell r="AH34">
            <v>74069</v>
          </cell>
          <cell r="AI34">
            <v>90068</v>
          </cell>
        </row>
        <row r="35">
          <cell r="A35">
            <v>32</v>
          </cell>
          <cell r="B35" t="str">
            <v>Commercial Large</v>
          </cell>
          <cell r="D35">
            <v>1475963.8353296332</v>
          </cell>
          <cell r="E35">
            <v>158752.74807673573</v>
          </cell>
          <cell r="F35">
            <v>192704.85539000874</v>
          </cell>
          <cell r="G35">
            <v>169595.65975265365</v>
          </cell>
          <cell r="H35">
            <v>139398.77300613496</v>
          </cell>
          <cell r="I35">
            <v>130218.61914499951</v>
          </cell>
          <cell r="J35">
            <v>96291.946635504923</v>
          </cell>
          <cell r="K35">
            <v>96166</v>
          </cell>
          <cell r="L35">
            <v>97093</v>
          </cell>
          <cell r="M35">
            <v>85335</v>
          </cell>
          <cell r="N35">
            <v>98059.110916350182</v>
          </cell>
          <cell r="O35">
            <v>97947.1224072451</v>
          </cell>
          <cell r="P35">
            <v>114401</v>
          </cell>
          <cell r="T35">
            <v>32</v>
          </cell>
          <cell r="U35" t="str">
            <v>Commercial Large</v>
          </cell>
          <cell r="X35">
            <v>174571</v>
          </cell>
          <cell r="Y35">
            <v>163793</v>
          </cell>
          <cell r="Z35">
            <v>157229</v>
          </cell>
          <cell r="AA35">
            <v>146029</v>
          </cell>
          <cell r="AB35">
            <v>129681</v>
          </cell>
          <cell r="AC35">
            <v>116469</v>
          </cell>
          <cell r="AD35">
            <v>122643</v>
          </cell>
          <cell r="AE35">
            <v>103319.01840490797</v>
          </cell>
          <cell r="AF35">
            <v>103395</v>
          </cell>
          <cell r="AG35">
            <v>115464</v>
          </cell>
          <cell r="AH35">
            <v>131189</v>
          </cell>
          <cell r="AI35">
            <v>159411</v>
          </cell>
        </row>
        <row r="36">
          <cell r="A36">
            <v>33</v>
          </cell>
          <cell r="B36" t="str">
            <v>Outdoor Lights</v>
          </cell>
          <cell r="D36">
            <v>18488.423410263902</v>
          </cell>
          <cell r="E36">
            <v>658.52565975265361</v>
          </cell>
          <cell r="F36">
            <v>703.12591294186382</v>
          </cell>
          <cell r="G36">
            <v>1730.0029214139645</v>
          </cell>
          <cell r="H36">
            <v>1719.3494984906029</v>
          </cell>
          <cell r="I36">
            <v>1719.3494984906029</v>
          </cell>
          <cell r="J36">
            <v>1719.3494984906029</v>
          </cell>
          <cell r="K36">
            <v>1719</v>
          </cell>
          <cell r="L36">
            <v>1719</v>
          </cell>
          <cell r="M36">
            <v>1643</v>
          </cell>
          <cell r="N36">
            <v>1719.3709221930078</v>
          </cell>
          <cell r="O36">
            <v>1719.3494984906029</v>
          </cell>
          <cell r="P36">
            <v>1719</v>
          </cell>
          <cell r="T36">
            <v>33</v>
          </cell>
          <cell r="U36" t="str">
            <v>Outdoor Lights</v>
          </cell>
          <cell r="X36">
            <v>1717</v>
          </cell>
          <cell r="Y36">
            <v>1845</v>
          </cell>
          <cell r="Z36">
            <v>1782</v>
          </cell>
          <cell r="AA36">
            <v>1848</v>
          </cell>
          <cell r="AB36">
            <v>1782</v>
          </cell>
          <cell r="AC36">
            <v>1753</v>
          </cell>
          <cell r="AD36">
            <v>1753</v>
          </cell>
          <cell r="AE36">
            <v>1721.0049664037394</v>
          </cell>
          <cell r="AF36">
            <v>1721</v>
          </cell>
          <cell r="AG36">
            <v>1622</v>
          </cell>
          <cell r="AH36">
            <v>1677</v>
          </cell>
          <cell r="AI36">
            <v>1094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/>
          <cell r="AC37"/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Unbilled</v>
          </cell>
          <cell r="D38">
            <v>-89655.441620410958</v>
          </cell>
          <cell r="E38">
            <v>-37552.919466355052</v>
          </cell>
          <cell r="F38">
            <v>-6642.0294089005747</v>
          </cell>
          <cell r="G38">
            <v>-38151.786931541537</v>
          </cell>
          <cell r="H38">
            <v>42748.992112182299</v>
          </cell>
          <cell r="I38">
            <v>-0.2434511636965625</v>
          </cell>
          <cell r="J38">
            <v>-70643.684876813713</v>
          </cell>
          <cell r="K38">
            <v>-30925.11442204694</v>
          </cell>
          <cell r="L38">
            <v>14440.5492258253</v>
          </cell>
          <cell r="M38">
            <v>-26304.411335086184</v>
          </cell>
          <cell r="N38">
            <v>40994.254552536768</v>
          </cell>
          <cell r="O38">
            <v>22380.952380952382</v>
          </cell>
          <cell r="P38"/>
          <cell r="T38">
            <v>35</v>
          </cell>
          <cell r="U38" t="str">
            <v>Unbilled</v>
          </cell>
          <cell r="X38">
            <v>-18024.150355438702</v>
          </cell>
          <cell r="Y38">
            <v>-19706.884798909341</v>
          </cell>
          <cell r="Z38">
            <v>8511.0526828318252</v>
          </cell>
          <cell r="AA38">
            <v>-31104.294478527609</v>
          </cell>
          <cell r="AB38">
            <v>-3908.8518843120073</v>
          </cell>
          <cell r="AC38">
            <v>-16359.918200409</v>
          </cell>
          <cell r="AD38">
            <v>-25947.998831434415</v>
          </cell>
          <cell r="AE38">
            <v>26885.47083455059</v>
          </cell>
          <cell r="AF38">
            <v>-15741.55224461973</v>
          </cell>
          <cell r="AG38">
            <v>13365.46888694128</v>
          </cell>
          <cell r="AH38">
            <v>69941.571720712833</v>
          </cell>
          <cell r="AI38">
            <v>45640.276560521961</v>
          </cell>
        </row>
        <row r="39">
          <cell r="A39">
            <v>36</v>
          </cell>
          <cell r="B39" t="str">
            <v>Commercial Small Transp</v>
          </cell>
          <cell r="D39">
            <v>304017.68380562862</v>
          </cell>
          <cell r="E39">
            <v>27997.728113740388</v>
          </cell>
          <cell r="F39">
            <v>28757.139935728894</v>
          </cell>
          <cell r="G39">
            <v>27548.16535203041</v>
          </cell>
          <cell r="H39">
            <v>25475.021910604733</v>
          </cell>
          <cell r="I39">
            <v>22867.465186483591</v>
          </cell>
          <cell r="J39">
            <v>22786.834161067291</v>
          </cell>
          <cell r="K39">
            <v>23388</v>
          </cell>
          <cell r="L39">
            <v>22308</v>
          </cell>
          <cell r="M39">
            <v>23750</v>
          </cell>
          <cell r="N39">
            <v>23212.879540364214</v>
          </cell>
          <cell r="O39">
            <v>25507.449605609116</v>
          </cell>
          <cell r="P39">
            <v>30419</v>
          </cell>
          <cell r="T39">
            <v>36</v>
          </cell>
          <cell r="U39" t="str">
            <v>Commercial Small Transp</v>
          </cell>
          <cell r="X39">
            <v>19797</v>
          </cell>
          <cell r="Y39">
            <v>19934</v>
          </cell>
          <cell r="Z39">
            <v>18851</v>
          </cell>
          <cell r="AA39">
            <v>17456</v>
          </cell>
          <cell r="AB39">
            <v>15953</v>
          </cell>
          <cell r="AC39">
            <v>15055</v>
          </cell>
          <cell r="AD39">
            <v>15647</v>
          </cell>
          <cell r="AE39">
            <v>14203.427792384848</v>
          </cell>
          <cell r="AF39">
            <v>16747</v>
          </cell>
          <cell r="AG39">
            <v>14466</v>
          </cell>
          <cell r="AH39">
            <v>20676</v>
          </cell>
          <cell r="AI39">
            <v>25003</v>
          </cell>
        </row>
        <row r="40">
          <cell r="A40">
            <v>37</v>
          </cell>
          <cell r="B40" t="str">
            <v>Commercial Large Transp</v>
          </cell>
          <cell r="D40">
            <v>2601137.0869607553</v>
          </cell>
          <cell r="E40">
            <v>249499.89190768322</v>
          </cell>
          <cell r="F40">
            <v>238378.83727724216</v>
          </cell>
          <cell r="G40">
            <v>236162.29330996209</v>
          </cell>
          <cell r="H40">
            <v>225203.71993378128</v>
          </cell>
          <cell r="I40">
            <v>204986.46411529847</v>
          </cell>
          <cell r="J40">
            <v>199713.4092900964</v>
          </cell>
          <cell r="K40">
            <v>209902</v>
          </cell>
          <cell r="L40">
            <v>201860</v>
          </cell>
          <cell r="M40">
            <v>196681</v>
          </cell>
          <cell r="N40">
            <v>202063.79199532547</v>
          </cell>
          <cell r="O40">
            <v>207554.67913136625</v>
          </cell>
          <cell r="P40">
            <v>229131</v>
          </cell>
          <cell r="T40">
            <v>37</v>
          </cell>
          <cell r="U40" t="str">
            <v>Commercial Large Transp</v>
          </cell>
          <cell r="X40">
            <v>228407</v>
          </cell>
          <cell r="Y40">
            <v>213661</v>
          </cell>
          <cell r="Z40">
            <v>218651</v>
          </cell>
          <cell r="AA40">
            <v>208971</v>
          </cell>
          <cell r="AB40">
            <v>196600</v>
          </cell>
          <cell r="AC40">
            <v>186120</v>
          </cell>
          <cell r="AD40">
            <v>195515</v>
          </cell>
          <cell r="AE40">
            <v>178663.94001363326</v>
          </cell>
          <cell r="AF40">
            <v>176205</v>
          </cell>
          <cell r="AG40">
            <v>190336</v>
          </cell>
          <cell r="AH40">
            <v>206048</v>
          </cell>
          <cell r="AI40">
            <v>229314</v>
          </cell>
        </row>
        <row r="41">
          <cell r="A41">
            <v>38</v>
          </cell>
          <cell r="B41" t="str">
            <v>Interruptible Transp</v>
          </cell>
          <cell r="D41">
            <v>725139.6736780603</v>
          </cell>
          <cell r="E41">
            <v>60925.682150160683</v>
          </cell>
          <cell r="F41">
            <v>62240.458661992408</v>
          </cell>
          <cell r="G41">
            <v>66098.528581166625</v>
          </cell>
          <cell r="H41">
            <v>58713.506670561881</v>
          </cell>
          <cell r="I41">
            <v>52889.765313078198</v>
          </cell>
          <cell r="J41">
            <v>105399.94157172072</v>
          </cell>
          <cell r="K41">
            <v>47184</v>
          </cell>
          <cell r="L41">
            <v>54030</v>
          </cell>
          <cell r="M41">
            <v>45417</v>
          </cell>
          <cell r="N41">
            <v>56369.941571720716</v>
          </cell>
          <cell r="O41">
            <v>59120.849157658973</v>
          </cell>
          <cell r="P41">
            <v>56750</v>
          </cell>
          <cell r="T41">
            <v>38</v>
          </cell>
          <cell r="U41" t="str">
            <v>Interruptible Transp</v>
          </cell>
          <cell r="X41">
            <v>57492</v>
          </cell>
          <cell r="Y41">
            <v>49915</v>
          </cell>
          <cell r="Z41">
            <v>56611</v>
          </cell>
          <cell r="AA41">
            <v>51592</v>
          </cell>
          <cell r="AB41">
            <v>49952</v>
          </cell>
          <cell r="AC41">
            <v>47697</v>
          </cell>
          <cell r="AD41">
            <v>39576</v>
          </cell>
          <cell r="AE41">
            <v>53496.250852079073</v>
          </cell>
          <cell r="AF41">
            <v>47795</v>
          </cell>
          <cell r="AG41">
            <v>56983</v>
          </cell>
          <cell r="AH41">
            <v>65183</v>
          </cell>
          <cell r="AI41">
            <v>60561</v>
          </cell>
        </row>
        <row r="42">
          <cell r="A42">
            <v>39</v>
          </cell>
          <cell r="D42">
            <v>7083860.4970298987</v>
          </cell>
          <cell r="E42">
            <v>726977.69208296773</v>
          </cell>
          <cell r="F42">
            <v>804601.44220469368</v>
          </cell>
          <cell r="G42">
            <v>691471.85120265232</v>
          </cell>
          <cell r="H42">
            <v>671504.56714383094</v>
          </cell>
          <cell r="I42">
            <v>553298.71457785566</v>
          </cell>
          <cell r="J42">
            <v>476247.15162138472</v>
          </cell>
          <cell r="K42">
            <v>467911.88557795307</v>
          </cell>
          <cell r="L42">
            <v>507131.54922582529</v>
          </cell>
          <cell r="M42">
            <v>449704.58866491378</v>
          </cell>
          <cell r="N42">
            <v>545601.23283669271</v>
          </cell>
          <cell r="O42">
            <v>561240.82189112867</v>
          </cell>
          <cell r="P42">
            <v>628169</v>
          </cell>
          <cell r="T42">
            <v>39</v>
          </cell>
          <cell r="U42"/>
          <cell r="V42"/>
          <cell r="W42"/>
          <cell r="X42">
            <v>729794.8496445613</v>
          </cell>
          <cell r="Y42">
            <v>687153.1152010907</v>
          </cell>
          <cell r="Z42">
            <v>676248.05268283188</v>
          </cell>
          <cell r="AA42">
            <v>587563.70552147238</v>
          </cell>
          <cell r="AB42">
            <v>539221.148115688</v>
          </cell>
          <cell r="AC42">
            <v>481272.08179959096</v>
          </cell>
          <cell r="AD42">
            <v>473795.00116856559</v>
          </cell>
          <cell r="AE42">
            <v>488010.70406076539</v>
          </cell>
          <cell r="AF42">
            <v>447408.4477553803</v>
          </cell>
          <cell r="AG42">
            <v>519946.46888694132</v>
          </cell>
          <cell r="AH42">
            <v>662910.57172071282</v>
          </cell>
          <cell r="AI42">
            <v>761195.27656052192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674</v>
          </cell>
          <cell r="F45">
            <v>678</v>
          </cell>
          <cell r="G45">
            <v>678</v>
          </cell>
          <cell r="H45">
            <v>681</v>
          </cell>
          <cell r="I45">
            <v>679</v>
          </cell>
          <cell r="J45">
            <v>682</v>
          </cell>
          <cell r="K45">
            <v>676</v>
          </cell>
          <cell r="L45">
            <v>672</v>
          </cell>
          <cell r="M45">
            <v>666</v>
          </cell>
          <cell r="N45">
            <v>676</v>
          </cell>
          <cell r="O45">
            <v>671</v>
          </cell>
          <cell r="P45">
            <v>668</v>
          </cell>
          <cell r="T45">
            <v>42</v>
          </cell>
          <cell r="U45" t="str">
            <v>TS1 - RS</v>
          </cell>
          <cell r="X45">
            <v>672</v>
          </cell>
          <cell r="Y45">
            <v>676</v>
          </cell>
          <cell r="Z45">
            <v>675</v>
          </cell>
          <cell r="AA45">
            <v>672</v>
          </cell>
          <cell r="AB45">
            <v>672</v>
          </cell>
          <cell r="AC45">
            <v>665</v>
          </cell>
          <cell r="AD45">
            <v>666</v>
          </cell>
          <cell r="AE45">
            <v>666</v>
          </cell>
          <cell r="AF45">
            <v>674</v>
          </cell>
          <cell r="AG45">
            <v>676</v>
          </cell>
          <cell r="AH45">
            <v>677</v>
          </cell>
          <cell r="AI45">
            <v>677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/>
          <cell r="O46"/>
          <cell r="P46">
            <v>0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24</v>
          </cell>
          <cell r="G47">
            <v>24</v>
          </cell>
          <cell r="H47">
            <v>24</v>
          </cell>
          <cell r="I47">
            <v>24</v>
          </cell>
          <cell r="J47">
            <v>24</v>
          </cell>
          <cell r="K47">
            <v>24</v>
          </cell>
          <cell r="L47">
            <v>24</v>
          </cell>
          <cell r="M47">
            <v>24</v>
          </cell>
          <cell r="N47">
            <v>24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23</v>
          </cell>
          <cell r="Z47">
            <v>24</v>
          </cell>
          <cell r="AA47">
            <v>22</v>
          </cell>
          <cell r="AB47">
            <v>22</v>
          </cell>
          <cell r="AC47">
            <v>22</v>
          </cell>
          <cell r="AD47">
            <v>21</v>
          </cell>
          <cell r="AE47">
            <v>21</v>
          </cell>
          <cell r="AF47">
            <v>21</v>
          </cell>
          <cell r="AG47">
            <v>21</v>
          </cell>
          <cell r="AH47">
            <v>24</v>
          </cell>
          <cell r="AI47">
            <v>24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701</v>
          </cell>
          <cell r="F50">
            <v>705</v>
          </cell>
          <cell r="G50">
            <v>705</v>
          </cell>
          <cell r="H50">
            <v>708</v>
          </cell>
          <cell r="I50">
            <v>706</v>
          </cell>
          <cell r="J50">
            <v>709</v>
          </cell>
          <cell r="K50">
            <v>703</v>
          </cell>
          <cell r="L50">
            <v>699</v>
          </cell>
          <cell r="M50">
            <v>693</v>
          </cell>
          <cell r="N50">
            <v>703</v>
          </cell>
          <cell r="O50">
            <v>697</v>
          </cell>
          <cell r="P50">
            <v>694</v>
          </cell>
          <cell r="T50">
            <v>47</v>
          </cell>
          <cell r="U50"/>
          <cell r="V50"/>
          <cell r="W50"/>
          <cell r="X50">
            <v>699</v>
          </cell>
          <cell r="Y50">
            <v>702</v>
          </cell>
          <cell r="Z50">
            <v>702</v>
          </cell>
          <cell r="AA50">
            <v>697</v>
          </cell>
          <cell r="AB50">
            <v>697</v>
          </cell>
          <cell r="AC50">
            <v>690</v>
          </cell>
          <cell r="AD50">
            <v>690</v>
          </cell>
          <cell r="AE50">
            <v>690</v>
          </cell>
          <cell r="AF50">
            <v>698</v>
          </cell>
          <cell r="AG50">
            <v>700</v>
          </cell>
          <cell r="AH50">
            <v>704</v>
          </cell>
          <cell r="AI50">
            <v>704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11484.202746129124</v>
          </cell>
          <cell r="E53">
            <v>1199.1128639594897</v>
          </cell>
          <cell r="F53">
            <v>1193.3781283474534</v>
          </cell>
          <cell r="G53">
            <v>1064.6684195150453</v>
          </cell>
          <cell r="H53">
            <v>910.9377738825591</v>
          </cell>
          <cell r="I53">
            <v>878.46917908267596</v>
          </cell>
          <cell r="J53">
            <v>817.50900769305679</v>
          </cell>
          <cell r="K53">
            <v>871</v>
          </cell>
          <cell r="L53">
            <v>852</v>
          </cell>
          <cell r="M53">
            <v>891</v>
          </cell>
          <cell r="N53">
            <v>847.40481059499461</v>
          </cell>
          <cell r="O53">
            <v>820.72256305385133</v>
          </cell>
          <cell r="P53">
            <v>1138</v>
          </cell>
          <cell r="T53">
            <v>50</v>
          </cell>
          <cell r="U53" t="str">
            <v>TS1 - RS</v>
          </cell>
          <cell r="V53"/>
          <cell r="W53"/>
          <cell r="X53">
            <v>1232</v>
          </cell>
          <cell r="Y53">
            <v>1023</v>
          </cell>
          <cell r="Z53">
            <v>997</v>
          </cell>
          <cell r="AA53">
            <v>1040</v>
          </cell>
          <cell r="AB53">
            <v>905</v>
          </cell>
          <cell r="AC53">
            <v>829</v>
          </cell>
          <cell r="AD53">
            <v>895</v>
          </cell>
          <cell r="AE53">
            <v>793</v>
          </cell>
          <cell r="AF53">
            <v>944</v>
          </cell>
          <cell r="AG53">
            <v>882</v>
          </cell>
          <cell r="AH53">
            <v>924</v>
          </cell>
          <cell r="AI53">
            <v>1150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/>
          <cell r="F54"/>
          <cell r="G54"/>
          <cell r="H54"/>
          <cell r="I54"/>
          <cell r="J54"/>
          <cell r="K54">
            <v>0</v>
          </cell>
          <cell r="L54">
            <v>0</v>
          </cell>
          <cell r="M54">
            <v>0</v>
          </cell>
          <cell r="N54"/>
          <cell r="O54"/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7399.8171194858314</v>
          </cell>
          <cell r="E55">
            <v>689.858798325056</v>
          </cell>
          <cell r="F55">
            <v>605.67728113740384</v>
          </cell>
          <cell r="G55">
            <v>684.34414256500145</v>
          </cell>
          <cell r="H55">
            <v>602.0888109845165</v>
          </cell>
          <cell r="I55">
            <v>540.9484857337618</v>
          </cell>
          <cell r="J55">
            <v>483.00710877397995</v>
          </cell>
          <cell r="K55">
            <v>572</v>
          </cell>
          <cell r="L55">
            <v>544</v>
          </cell>
          <cell r="M55">
            <v>630</v>
          </cell>
          <cell r="N55">
            <v>649.13818288051414</v>
          </cell>
          <cell r="O55">
            <v>566.75430908559747</v>
          </cell>
          <cell r="P55">
            <v>832</v>
          </cell>
          <cell r="T55">
            <v>52</v>
          </cell>
          <cell r="U55" t="str">
            <v>TS2</v>
          </cell>
          <cell r="X55">
            <v>625</v>
          </cell>
          <cell r="Y55">
            <v>579</v>
          </cell>
          <cell r="Z55">
            <v>618</v>
          </cell>
          <cell r="AA55">
            <v>576</v>
          </cell>
          <cell r="AB55">
            <v>500</v>
          </cell>
          <cell r="AC55">
            <v>551</v>
          </cell>
          <cell r="AD55">
            <v>533</v>
          </cell>
          <cell r="AE55">
            <v>413</v>
          </cell>
          <cell r="AF55">
            <v>570</v>
          </cell>
          <cell r="AG55">
            <v>676</v>
          </cell>
          <cell r="AH55">
            <v>490</v>
          </cell>
          <cell r="AI55">
            <v>611</v>
          </cell>
        </row>
        <row r="56">
          <cell r="A56">
            <v>53</v>
          </cell>
          <cell r="B56" t="str">
            <v>TS3</v>
          </cell>
          <cell r="D56">
            <v>163.32943811471421</v>
          </cell>
          <cell r="E56">
            <v>21.257181809329047</v>
          </cell>
          <cell r="F56">
            <v>18.988216963677086</v>
          </cell>
          <cell r="G56">
            <v>20.341805433829972</v>
          </cell>
          <cell r="H56">
            <v>17.782646801051712</v>
          </cell>
          <cell r="I56">
            <v>8.9590028240334991</v>
          </cell>
          <cell r="J56">
            <v>10.322329340734248</v>
          </cell>
          <cell r="K56">
            <v>12</v>
          </cell>
          <cell r="L56">
            <v>12</v>
          </cell>
          <cell r="M56">
            <v>10</v>
          </cell>
          <cell r="N56">
            <v>4.6742623429739991</v>
          </cell>
          <cell r="O56">
            <v>11.003992599084624</v>
          </cell>
          <cell r="P56">
            <v>16</v>
          </cell>
          <cell r="T56">
            <v>53</v>
          </cell>
          <cell r="U56" t="str">
            <v>TS3</v>
          </cell>
          <cell r="X56">
            <v>11</v>
          </cell>
          <cell r="Y56">
            <v>7</v>
          </cell>
          <cell r="Z56">
            <v>8</v>
          </cell>
          <cell r="AA56">
            <v>7</v>
          </cell>
          <cell r="AB56">
            <v>8</v>
          </cell>
          <cell r="AC56">
            <v>15</v>
          </cell>
          <cell r="AD56">
            <v>12</v>
          </cell>
          <cell r="AE56">
            <v>7</v>
          </cell>
          <cell r="AF56">
            <v>122</v>
          </cell>
          <cell r="AG56">
            <v>8</v>
          </cell>
          <cell r="AH56">
            <v>18</v>
          </cell>
          <cell r="AI56">
            <v>11</v>
          </cell>
        </row>
        <row r="57">
          <cell r="A57">
            <v>54</v>
          </cell>
          <cell r="B57" t="str">
            <v>TS4</v>
          </cell>
          <cell r="D57">
            <v>253141.26799104098</v>
          </cell>
          <cell r="E57">
            <v>47690.68166325835</v>
          </cell>
          <cell r="F57">
            <v>54873.618658097177</v>
          </cell>
          <cell r="G57">
            <v>0</v>
          </cell>
          <cell r="H57">
            <v>23823.078196513779</v>
          </cell>
          <cell r="I57">
            <v>42378.420488849937</v>
          </cell>
          <cell r="J57">
            <v>13224.656733859189</v>
          </cell>
          <cell r="K57">
            <v>7936</v>
          </cell>
          <cell r="L57">
            <v>12526</v>
          </cell>
          <cell r="M57">
            <v>13482</v>
          </cell>
          <cell r="N57">
            <v>8891.4207809913332</v>
          </cell>
          <cell r="O57">
            <v>12420.391469471224</v>
          </cell>
          <cell r="P57">
            <v>15895</v>
          </cell>
          <cell r="T57">
            <v>54</v>
          </cell>
          <cell r="U57" t="str">
            <v>TS4</v>
          </cell>
          <cell r="X57">
            <v>174861</v>
          </cell>
          <cell r="Y57">
            <v>30073</v>
          </cell>
          <cell r="Z57">
            <v>11186</v>
          </cell>
          <cell r="AA57">
            <v>123927</v>
          </cell>
          <cell r="AB57">
            <v>56441</v>
          </cell>
          <cell r="AC57">
            <v>20520</v>
          </cell>
          <cell r="AD57">
            <v>9654</v>
          </cell>
          <cell r="AE57">
            <v>9306</v>
          </cell>
          <cell r="AF57">
            <v>7456</v>
          </cell>
          <cell r="AG57">
            <v>3405</v>
          </cell>
          <cell r="AH57">
            <v>15109</v>
          </cell>
          <cell r="AI57">
            <v>221</v>
          </cell>
        </row>
        <row r="58">
          <cell r="A58">
            <v>55</v>
          </cell>
          <cell r="D58">
            <v>272188.61729477067</v>
          </cell>
          <cell r="E58">
            <v>49600.910507352222</v>
          </cell>
          <cell r="F58">
            <v>56691.66228454571</v>
          </cell>
          <cell r="G58">
            <v>1769.3543675138767</v>
          </cell>
          <cell r="H58">
            <v>25353.887428181908</v>
          </cell>
          <cell r="I58">
            <v>43806.797156490407</v>
          </cell>
          <cell r="J58">
            <v>14535.495179666959</v>
          </cell>
          <cell r="K58">
            <v>9391</v>
          </cell>
          <cell r="L58">
            <v>13934</v>
          </cell>
          <cell r="M58">
            <v>15013</v>
          </cell>
          <cell r="N58">
            <v>10392.638036809816</v>
          </cell>
          <cell r="O58">
            <v>13818.872334209758</v>
          </cell>
          <cell r="P58">
            <v>17881</v>
          </cell>
          <cell r="T58">
            <v>55</v>
          </cell>
          <cell r="U58"/>
          <cell r="V58"/>
          <cell r="W58"/>
          <cell r="X58">
            <v>176729</v>
          </cell>
          <cell r="Y58">
            <v>31682</v>
          </cell>
          <cell r="Z58">
            <v>12809</v>
          </cell>
          <cell r="AA58">
            <v>125550</v>
          </cell>
          <cell r="AB58">
            <v>57854</v>
          </cell>
          <cell r="AC58">
            <v>21915</v>
          </cell>
          <cell r="AD58">
            <v>11094</v>
          </cell>
          <cell r="AE58">
            <v>10519</v>
          </cell>
          <cell r="AF58">
            <v>9092</v>
          </cell>
          <cell r="AG58">
            <v>4971</v>
          </cell>
          <cell r="AH58">
            <v>16541</v>
          </cell>
          <cell r="AI58">
            <v>1993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655</v>
          </cell>
          <cell r="F62">
            <v>650</v>
          </cell>
          <cell r="G62">
            <v>657</v>
          </cell>
          <cell r="H62">
            <v>647</v>
          </cell>
          <cell r="I62">
            <v>636</v>
          </cell>
          <cell r="J62">
            <v>626</v>
          </cell>
          <cell r="K62">
            <v>614</v>
          </cell>
          <cell r="L62">
            <v>608</v>
          </cell>
          <cell r="M62">
            <v>603</v>
          </cell>
          <cell r="N62">
            <v>599</v>
          </cell>
          <cell r="O62">
            <v>599</v>
          </cell>
          <cell r="P62">
            <v>599</v>
          </cell>
          <cell r="T62">
            <v>59</v>
          </cell>
          <cell r="U62" t="str">
            <v>Residential</v>
          </cell>
          <cell r="V62"/>
          <cell r="W62"/>
          <cell r="X62">
            <v>718</v>
          </cell>
          <cell r="Y62">
            <v>705</v>
          </cell>
          <cell r="Z62">
            <v>704</v>
          </cell>
          <cell r="AA62">
            <v>690</v>
          </cell>
          <cell r="AB62">
            <v>653</v>
          </cell>
          <cell r="AC62">
            <v>639</v>
          </cell>
          <cell r="AD62">
            <v>626</v>
          </cell>
          <cell r="AE62">
            <v>615</v>
          </cell>
          <cell r="AF62">
            <v>607</v>
          </cell>
          <cell r="AG62">
            <v>609</v>
          </cell>
          <cell r="AH62">
            <v>618</v>
          </cell>
          <cell r="AI62">
            <v>647</v>
          </cell>
        </row>
        <row r="63">
          <cell r="A63">
            <v>60</v>
          </cell>
          <cell r="B63" t="str">
            <v>Commercial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  <cell r="N63">
            <v>4</v>
          </cell>
          <cell r="O63">
            <v>4</v>
          </cell>
          <cell r="P63">
            <v>4</v>
          </cell>
          <cell r="T63">
            <v>60</v>
          </cell>
          <cell r="U63" t="str">
            <v>Commercial</v>
          </cell>
          <cell r="X63">
            <v>29</v>
          </cell>
          <cell r="Y63">
            <v>30</v>
          </cell>
          <cell r="Z63">
            <v>30</v>
          </cell>
          <cell r="AA63">
            <v>30</v>
          </cell>
          <cell r="AB63">
            <v>30</v>
          </cell>
          <cell r="AC63">
            <v>30</v>
          </cell>
          <cell r="AD63">
            <v>30</v>
          </cell>
          <cell r="AE63">
            <v>27</v>
          </cell>
          <cell r="AF63">
            <v>27</v>
          </cell>
          <cell r="AG63">
            <v>27</v>
          </cell>
          <cell r="AH63">
            <v>27</v>
          </cell>
          <cell r="AI63">
            <v>25</v>
          </cell>
        </row>
        <row r="64">
          <cell r="A64">
            <v>61</v>
          </cell>
          <cell r="B64" t="str">
            <v>Commercial Small Transp</v>
          </cell>
          <cell r="E64">
            <v>22</v>
          </cell>
          <cell r="F64">
            <v>24</v>
          </cell>
          <cell r="G64">
            <v>23</v>
          </cell>
          <cell r="H64">
            <v>23</v>
          </cell>
          <cell r="I64">
            <v>23</v>
          </cell>
          <cell r="J64">
            <v>23</v>
          </cell>
          <cell r="K64">
            <v>23</v>
          </cell>
          <cell r="L64">
            <v>22</v>
          </cell>
          <cell r="M64">
            <v>22</v>
          </cell>
          <cell r="N64">
            <v>22</v>
          </cell>
          <cell r="O64">
            <v>22</v>
          </cell>
          <cell r="P64">
            <v>22</v>
          </cell>
          <cell r="T64">
            <v>61</v>
          </cell>
          <cell r="U64" t="str">
            <v>Special Contract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62</v>
          </cell>
          <cell r="B65" t="str">
            <v>Other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/>
          <cell r="E66">
            <v>681</v>
          </cell>
          <cell r="F66">
            <v>678</v>
          </cell>
          <cell r="G66">
            <v>684</v>
          </cell>
          <cell r="H66">
            <v>674</v>
          </cell>
          <cell r="I66">
            <v>663</v>
          </cell>
          <cell r="J66">
            <v>653</v>
          </cell>
          <cell r="K66">
            <v>641</v>
          </cell>
          <cell r="L66">
            <v>634</v>
          </cell>
          <cell r="M66">
            <v>629</v>
          </cell>
          <cell r="N66">
            <v>625</v>
          </cell>
          <cell r="O66">
            <v>625</v>
          </cell>
          <cell r="P66">
            <v>625</v>
          </cell>
          <cell r="T66">
            <v>63</v>
          </cell>
          <cell r="W66"/>
          <cell r="X66">
            <v>747</v>
          </cell>
          <cell r="Y66">
            <v>735</v>
          </cell>
          <cell r="Z66">
            <v>734</v>
          </cell>
          <cell r="AA66">
            <v>720</v>
          </cell>
          <cell r="AB66">
            <v>683</v>
          </cell>
          <cell r="AC66">
            <v>669</v>
          </cell>
          <cell r="AD66">
            <v>656</v>
          </cell>
          <cell r="AE66">
            <v>642</v>
          </cell>
          <cell r="AF66">
            <v>634</v>
          </cell>
          <cell r="AG66">
            <v>636</v>
          </cell>
          <cell r="AH66">
            <v>645</v>
          </cell>
          <cell r="AI66">
            <v>672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2150.0613496932515</v>
          </cell>
          <cell r="E69">
            <v>1017.2830850131463</v>
          </cell>
          <cell r="F69">
            <v>1132.7782646801052</v>
          </cell>
          <cell r="G69">
            <v>938.7389229720518</v>
          </cell>
          <cell r="H69">
            <v>591.69831531794716</v>
          </cell>
          <cell r="I69">
            <v>479.585159217061</v>
          </cell>
          <cell r="J69">
            <v>437.53043139546207</v>
          </cell>
          <cell r="K69">
            <v>460</v>
          </cell>
          <cell r="L69">
            <v>436</v>
          </cell>
          <cell r="M69">
            <v>428</v>
          </cell>
          <cell r="N69">
            <v>421.65741552244617</v>
          </cell>
          <cell r="O69">
            <v>435.58282208588957</v>
          </cell>
          <cell r="P69">
            <v>551</v>
          </cell>
          <cell r="T69">
            <v>66</v>
          </cell>
          <cell r="U69" t="str">
            <v>Residential</v>
          </cell>
          <cell r="V69"/>
          <cell r="W69"/>
          <cell r="X69">
            <v>1302</v>
          </cell>
          <cell r="Y69">
            <v>1239</v>
          </cell>
          <cell r="Z69">
            <v>775</v>
          </cell>
          <cell r="AA69">
            <v>760</v>
          </cell>
          <cell r="AB69">
            <v>608</v>
          </cell>
          <cell r="AC69">
            <v>513</v>
          </cell>
          <cell r="AD69">
            <v>499</v>
          </cell>
          <cell r="AE69">
            <v>422</v>
          </cell>
          <cell r="AF69">
            <v>413</v>
          </cell>
          <cell r="AG69">
            <v>467</v>
          </cell>
          <cell r="AH69">
            <v>567</v>
          </cell>
          <cell r="AI69">
            <v>987</v>
          </cell>
        </row>
        <row r="70">
          <cell r="A70">
            <v>67</v>
          </cell>
          <cell r="B70" t="str">
            <v>Commercial</v>
          </cell>
          <cell r="D70">
            <v>8.8674651864835923</v>
          </cell>
          <cell r="E70">
            <v>2.9369948388353295</v>
          </cell>
          <cell r="F70">
            <v>5.9304703476482619</v>
          </cell>
          <cell r="G70">
            <v>0.91148115687992981</v>
          </cell>
          <cell r="H70">
            <v>0.60765410458661995</v>
          </cell>
          <cell r="I70">
            <v>0.91148115687992981</v>
          </cell>
          <cell r="J70">
            <v>1.3633265167007498</v>
          </cell>
          <cell r="K70">
            <v>1</v>
          </cell>
          <cell r="L70">
            <v>1</v>
          </cell>
          <cell r="M70">
            <v>1</v>
          </cell>
          <cell r="N70">
            <v>0.58428279287174989</v>
          </cell>
          <cell r="O70">
            <v>0.58428279287174989</v>
          </cell>
          <cell r="P70">
            <v>0</v>
          </cell>
          <cell r="T70">
            <v>67</v>
          </cell>
          <cell r="U70" t="str">
            <v>Commercial</v>
          </cell>
          <cell r="X70">
            <v>1082</v>
          </cell>
          <cell r="Y70">
            <v>1113</v>
          </cell>
          <cell r="Z70">
            <v>960</v>
          </cell>
          <cell r="AA70">
            <v>943</v>
          </cell>
          <cell r="AB70">
            <v>479</v>
          </cell>
          <cell r="AC70">
            <v>379</v>
          </cell>
          <cell r="AD70">
            <v>284</v>
          </cell>
          <cell r="AE70">
            <v>155</v>
          </cell>
          <cell r="AF70">
            <v>166</v>
          </cell>
          <cell r="AG70">
            <v>464</v>
          </cell>
          <cell r="AH70">
            <v>813</v>
          </cell>
          <cell r="AI70">
            <v>761</v>
          </cell>
        </row>
        <row r="71">
          <cell r="A71">
            <v>68</v>
          </cell>
          <cell r="B71" t="str">
            <v>Commercial Small Transp</v>
          </cell>
          <cell r="D71">
            <v>1899</v>
          </cell>
          <cell r="E71">
            <v>949</v>
          </cell>
          <cell r="F71">
            <v>950</v>
          </cell>
          <cell r="G71">
            <v>1027</v>
          </cell>
          <cell r="H71">
            <v>638</v>
          </cell>
          <cell r="I71">
            <v>494</v>
          </cell>
          <cell r="J71">
            <v>396</v>
          </cell>
          <cell r="K71">
            <v>295</v>
          </cell>
          <cell r="L71">
            <v>318</v>
          </cell>
          <cell r="M71">
            <v>304</v>
          </cell>
          <cell r="N71">
            <v>388.93757912162818</v>
          </cell>
          <cell r="O71">
            <v>501.21725581848278</v>
          </cell>
          <cell r="P71">
            <v>851</v>
          </cell>
          <cell r="T71">
            <v>68</v>
          </cell>
          <cell r="U71" t="str">
            <v>Special Contract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69</v>
          </cell>
          <cell r="D72">
            <v>4057.928814879735</v>
          </cell>
          <cell r="E72">
            <v>1969.2200798519816</v>
          </cell>
          <cell r="F72">
            <v>2088.7087350277534</v>
          </cell>
          <cell r="G72">
            <v>1966.6504041289318</v>
          </cell>
          <cell r="H72">
            <v>1230.3059694225337</v>
          </cell>
          <cell r="I72">
            <v>974.49664037394086</v>
          </cell>
          <cell r="J72">
            <v>834.89375791216276</v>
          </cell>
          <cell r="K72">
            <v>756</v>
          </cell>
          <cell r="L72">
            <v>755</v>
          </cell>
          <cell r="M72">
            <v>733</v>
          </cell>
          <cell r="N72">
            <v>811.17927743694611</v>
          </cell>
          <cell r="O72">
            <v>937.38436069724412</v>
          </cell>
          <cell r="P72">
            <v>1402</v>
          </cell>
          <cell r="T72">
            <v>69</v>
          </cell>
          <cell r="X72">
            <v>2384</v>
          </cell>
          <cell r="Y72">
            <v>2352</v>
          </cell>
          <cell r="Z72">
            <v>1735</v>
          </cell>
          <cell r="AA72">
            <v>1703</v>
          </cell>
          <cell r="AB72">
            <v>1087</v>
          </cell>
          <cell r="AC72">
            <v>892</v>
          </cell>
          <cell r="AD72">
            <v>783</v>
          </cell>
          <cell r="AE72">
            <v>577</v>
          </cell>
          <cell r="AF72">
            <v>579</v>
          </cell>
          <cell r="AG72">
            <v>931</v>
          </cell>
          <cell r="AH72">
            <v>1380</v>
          </cell>
          <cell r="AI72">
            <v>1748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</row>
        <row r="76">
          <cell r="A76">
            <v>73</v>
          </cell>
          <cell r="B76" t="str">
            <v xml:space="preserve">Customers </v>
          </cell>
          <cell r="C76"/>
          <cell r="D76">
            <v>708815</v>
          </cell>
          <cell r="E76">
            <v>58823</v>
          </cell>
          <cell r="F76">
            <v>59020</v>
          </cell>
          <cell r="G76">
            <v>59259</v>
          </cell>
          <cell r="H76">
            <v>59414</v>
          </cell>
          <cell r="I76">
            <v>59385</v>
          </cell>
          <cell r="J76">
            <v>59269.3</v>
          </cell>
          <cell r="K76">
            <v>58986</v>
          </cell>
          <cell r="L76">
            <v>58910</v>
          </cell>
          <cell r="M76">
            <v>58805</v>
          </cell>
          <cell r="N76">
            <v>58804</v>
          </cell>
          <cell r="O76">
            <v>58940</v>
          </cell>
          <cell r="P76">
            <v>59199.7</v>
          </cell>
          <cell r="T76">
            <v>73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</row>
        <row r="77">
          <cell r="A77">
            <v>74</v>
          </cell>
          <cell r="B77" t="str">
            <v>Volume (mcfs)</v>
          </cell>
          <cell r="C77"/>
          <cell r="D77">
            <v>8352628.0643684883</v>
          </cell>
          <cell r="E77">
            <v>961993.65079365089</v>
          </cell>
          <cell r="F77">
            <v>755963.9692277729</v>
          </cell>
          <cell r="G77">
            <v>737500.89590028254</v>
          </cell>
          <cell r="H77">
            <v>805116.50598889857</v>
          </cell>
          <cell r="I77">
            <v>676926.10770279483</v>
          </cell>
          <cell r="J77">
            <v>581891.13837764144</v>
          </cell>
          <cell r="K77">
            <v>548761.82685753237</v>
          </cell>
          <cell r="L77">
            <v>537896.5819456618</v>
          </cell>
          <cell r="M77">
            <v>575134.59927938459</v>
          </cell>
          <cell r="N77">
            <v>620397</v>
          </cell>
          <cell r="O77">
            <v>702747.24900185014</v>
          </cell>
          <cell r="P77">
            <v>848298.5392930177</v>
          </cell>
          <cell r="T77">
            <v>74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</row>
        <row r="78">
          <cell r="A78">
            <v>75</v>
          </cell>
          <cell r="B78" t="str">
            <v>Volume (dts) (mcfs*1.0269)</v>
          </cell>
          <cell r="C78"/>
          <cell r="D78">
            <v>8577314</v>
          </cell>
          <cell r="E78">
            <v>987871</v>
          </cell>
          <cell r="F78">
            <v>776299</v>
          </cell>
          <cell r="G78">
            <v>757340</v>
          </cell>
          <cell r="H78">
            <v>826774</v>
          </cell>
          <cell r="I78">
            <v>695135</v>
          </cell>
          <cell r="J78">
            <v>597544</v>
          </cell>
          <cell r="K78">
            <v>563524</v>
          </cell>
          <cell r="L78">
            <v>552366</v>
          </cell>
          <cell r="M78">
            <v>590606</v>
          </cell>
          <cell r="N78">
            <v>637086</v>
          </cell>
          <cell r="O78">
            <v>721651</v>
          </cell>
          <cell r="P78">
            <v>871118</v>
          </cell>
          <cell r="T78">
            <v>75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</row>
        <row r="80">
          <cell r="A80">
            <v>77</v>
          </cell>
          <cell r="B80" t="str">
            <v>Volume - 2015 -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1247820</v>
          </cell>
          <cell r="E81">
            <v>177433</v>
          </cell>
          <cell r="F81">
            <v>191097</v>
          </cell>
          <cell r="G81">
            <v>146435</v>
          </cell>
          <cell r="H81">
            <v>108264</v>
          </cell>
          <cell r="I81">
            <v>82149</v>
          </cell>
          <cell r="J81">
            <v>68015</v>
          </cell>
          <cell r="K81">
            <v>66207</v>
          </cell>
          <cell r="L81">
            <v>64253</v>
          </cell>
          <cell r="M81">
            <v>66717</v>
          </cell>
          <cell r="N81">
            <v>68887</v>
          </cell>
          <cell r="O81">
            <v>86280</v>
          </cell>
          <cell r="P81">
            <v>122083</v>
          </cell>
          <cell r="T81">
            <v>78</v>
          </cell>
          <cell r="U81" t="str">
            <v>Volumes (in DTs)</v>
          </cell>
          <cell r="W81">
            <v>1281619</v>
          </cell>
          <cell r="X81">
            <v>176519</v>
          </cell>
          <cell r="Y81">
            <v>171459</v>
          </cell>
          <cell r="Z81">
            <v>136179</v>
          </cell>
          <cell r="AA81">
            <v>119242</v>
          </cell>
          <cell r="AB81">
            <v>87467</v>
          </cell>
          <cell r="AC81">
            <v>73901</v>
          </cell>
          <cell r="AD81">
            <v>68723</v>
          </cell>
          <cell r="AE81">
            <v>59458</v>
          </cell>
          <cell r="AF81">
            <v>64482</v>
          </cell>
          <cell r="AG81">
            <v>69663</v>
          </cell>
          <cell r="AH81">
            <v>98190</v>
          </cell>
          <cell r="AI81">
            <v>156336</v>
          </cell>
        </row>
        <row r="82">
          <cell r="A82">
            <v>79</v>
          </cell>
          <cell r="B82" t="str">
            <v>Commercial</v>
          </cell>
          <cell r="D82">
            <v>2417819</v>
          </cell>
          <cell r="E82">
            <v>263146</v>
          </cell>
          <cell r="F82">
            <v>306769</v>
          </cell>
          <cell r="G82">
            <v>266917</v>
          </cell>
          <cell r="H82">
            <v>221871</v>
          </cell>
          <cell r="I82">
            <v>199698</v>
          </cell>
          <cell r="J82">
            <v>158664</v>
          </cell>
          <cell r="K82">
            <v>159997</v>
          </cell>
          <cell r="L82">
            <v>157904</v>
          </cell>
          <cell r="M82">
            <v>151110</v>
          </cell>
          <cell r="N82">
            <v>162046</v>
          </cell>
          <cell r="O82">
            <v>168916</v>
          </cell>
          <cell r="P82">
            <v>200781</v>
          </cell>
          <cell r="T82">
            <v>79</v>
          </cell>
          <cell r="U82" t="str">
            <v>Residential</v>
          </cell>
          <cell r="W82">
            <v>2596547</v>
          </cell>
          <cell r="X82">
            <v>281864</v>
          </cell>
          <cell r="Y82">
            <v>267346</v>
          </cell>
          <cell r="Z82">
            <v>250944</v>
          </cell>
          <cell r="AA82">
            <v>233986</v>
          </cell>
          <cell r="AB82">
            <v>203274</v>
          </cell>
          <cell r="AC82">
            <v>183899</v>
          </cell>
          <cell r="AD82">
            <v>189263</v>
          </cell>
          <cell r="AE82">
            <v>162919</v>
          </cell>
          <cell r="AF82">
            <v>166178</v>
          </cell>
          <cell r="AG82">
            <v>184282</v>
          </cell>
          <cell r="AH82">
            <v>213858</v>
          </cell>
          <cell r="AI82">
            <v>258734</v>
          </cell>
        </row>
        <row r="83">
          <cell r="A83">
            <v>80</v>
          </cell>
          <cell r="B83" t="str">
            <v xml:space="preserve">Industrial </v>
          </cell>
          <cell r="D83">
            <v>3987899</v>
          </cell>
          <cell r="E83">
            <v>396500</v>
          </cell>
          <cell r="F83">
            <v>394586</v>
          </cell>
          <cell r="G83">
            <v>338681</v>
          </cell>
          <cell r="H83">
            <v>342179</v>
          </cell>
          <cell r="I83">
            <v>331814</v>
          </cell>
          <cell r="J83">
            <v>350301</v>
          </cell>
          <cell r="K83">
            <v>296168</v>
          </cell>
          <cell r="L83">
            <v>298544</v>
          </cell>
          <cell r="M83">
            <v>286844</v>
          </cell>
          <cell r="N83">
            <v>298354</v>
          </cell>
          <cell r="O83">
            <v>312797</v>
          </cell>
          <cell r="P83">
            <v>341131</v>
          </cell>
          <cell r="T83">
            <v>80</v>
          </cell>
          <cell r="U83"/>
          <cell r="W83">
            <v>3841935</v>
          </cell>
          <cell r="X83">
            <v>493484</v>
          </cell>
          <cell r="Y83">
            <v>322018</v>
          </cell>
          <cell r="Z83">
            <v>313512</v>
          </cell>
          <cell r="AA83">
            <v>412758</v>
          </cell>
          <cell r="AB83">
            <v>327526</v>
          </cell>
          <cell r="AC83">
            <v>276639</v>
          </cell>
          <cell r="AD83">
            <v>267397</v>
          </cell>
          <cell r="AE83">
            <v>262547</v>
          </cell>
          <cell r="AF83">
            <v>254880</v>
          </cell>
          <cell r="AG83">
            <v>272324</v>
          </cell>
          <cell r="AH83">
            <v>315275</v>
          </cell>
          <cell r="AI83">
            <v>323575</v>
          </cell>
        </row>
        <row r="84">
          <cell r="A84">
            <v>81</v>
          </cell>
          <cell r="B84" t="str">
            <v>Other</v>
          </cell>
          <cell r="D84">
            <v>-84763</v>
          </cell>
          <cell r="E84">
            <v>-37589</v>
          </cell>
          <cell r="F84">
            <v>-5845</v>
          </cell>
          <cell r="G84">
            <v>-38123</v>
          </cell>
          <cell r="H84">
            <v>44554</v>
          </cell>
          <cell r="I84">
            <v>507</v>
          </cell>
          <cell r="J84">
            <v>-72137</v>
          </cell>
          <cell r="K84">
            <v>-31454</v>
          </cell>
          <cell r="L84">
            <v>15156</v>
          </cell>
          <cell r="M84">
            <v>-26700</v>
          </cell>
          <cell r="N84">
            <v>42496</v>
          </cell>
          <cell r="O84">
            <v>23498</v>
          </cell>
          <cell r="P84">
            <v>874</v>
          </cell>
          <cell r="T84">
            <v>81</v>
          </cell>
          <cell r="U84"/>
          <cell r="W84">
            <v>34453</v>
          </cell>
          <cell r="X84">
            <v>-18509</v>
          </cell>
          <cell r="Y84">
            <v>-20237</v>
          </cell>
          <cell r="Z84">
            <v>8740</v>
          </cell>
          <cell r="AA84">
            <v>-31941</v>
          </cell>
          <cell r="AB84">
            <v>-4014</v>
          </cell>
          <cell r="AC84">
            <v>-16800</v>
          </cell>
          <cell r="AD84">
            <v>-26646</v>
          </cell>
          <cell r="AE84">
            <v>27609</v>
          </cell>
          <cell r="AF84">
            <v>-16165</v>
          </cell>
          <cell r="AG84">
            <v>13725</v>
          </cell>
          <cell r="AH84">
            <v>71823</v>
          </cell>
          <cell r="AI84">
            <v>46868</v>
          </cell>
        </row>
        <row r="85">
          <cell r="A85">
            <v>82</v>
          </cell>
          <cell r="B85" t="str">
            <v>Total Deliveries</v>
          </cell>
          <cell r="C85"/>
          <cell r="D85">
            <v>7568775</v>
          </cell>
          <cell r="E85">
            <v>799490</v>
          </cell>
          <cell r="F85">
            <v>886607</v>
          </cell>
          <cell r="G85">
            <v>713910</v>
          </cell>
          <cell r="H85">
            <v>716868</v>
          </cell>
          <cell r="I85">
            <v>614168</v>
          </cell>
          <cell r="J85">
            <v>504843</v>
          </cell>
          <cell r="K85">
            <v>490918</v>
          </cell>
          <cell r="L85">
            <v>535857</v>
          </cell>
          <cell r="M85">
            <v>477971</v>
          </cell>
          <cell r="N85">
            <v>571783</v>
          </cell>
          <cell r="O85">
            <v>591491</v>
          </cell>
          <cell r="P85">
            <v>664869</v>
          </cell>
          <cell r="T85">
            <v>82</v>
          </cell>
          <cell r="U85">
            <v>0</v>
          </cell>
          <cell r="V85"/>
          <cell r="W85">
            <v>7754554</v>
          </cell>
          <cell r="X85">
            <v>933358</v>
          </cell>
          <cell r="Y85">
            <v>740586</v>
          </cell>
          <cell r="Z85">
            <v>709375</v>
          </cell>
          <cell r="AA85">
            <v>734045</v>
          </cell>
          <cell r="AB85">
            <v>614253</v>
          </cell>
          <cell r="AC85">
            <v>517639</v>
          </cell>
          <cell r="AD85">
            <v>498737</v>
          </cell>
          <cell r="AE85">
            <v>512533</v>
          </cell>
          <cell r="AF85">
            <v>469375</v>
          </cell>
          <cell r="AG85">
            <v>539994</v>
          </cell>
          <cell r="AH85">
            <v>699146</v>
          </cell>
          <cell r="AI85">
            <v>785513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AB86"/>
          <cell r="AC86"/>
          <cell r="AD86"/>
          <cell r="AE86"/>
          <cell r="AF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AB87"/>
          <cell r="AC87"/>
          <cell r="AD87"/>
          <cell r="AE87"/>
          <cell r="AF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- 2015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- 2014</v>
          </cell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51478</v>
          </cell>
          <cell r="F91">
            <v>51547</v>
          </cell>
          <cell r="G91">
            <v>51649</v>
          </cell>
          <cell r="H91">
            <v>51741</v>
          </cell>
          <cell r="I91">
            <v>51774</v>
          </cell>
          <cell r="J91">
            <v>51811</v>
          </cell>
          <cell r="K91">
            <v>51842</v>
          </cell>
          <cell r="L91">
            <v>51879</v>
          </cell>
          <cell r="M91">
            <v>51907</v>
          </cell>
          <cell r="N91">
            <v>51940</v>
          </cell>
          <cell r="O91">
            <v>51991</v>
          </cell>
          <cell r="P91">
            <v>52046</v>
          </cell>
          <cell r="T91">
            <v>88</v>
          </cell>
          <cell r="U91" t="str">
            <v>Residential</v>
          </cell>
          <cell r="V91"/>
          <cell r="W91"/>
          <cell r="X91">
            <v>50512</v>
          </cell>
          <cell r="Y91">
            <v>50594</v>
          </cell>
          <cell r="Z91">
            <v>50713</v>
          </cell>
          <cell r="AA91">
            <v>50784</v>
          </cell>
          <cell r="AB91">
            <v>50821</v>
          </cell>
          <cell r="AC91">
            <v>50826</v>
          </cell>
          <cell r="AD91">
            <v>50827</v>
          </cell>
          <cell r="AE91">
            <v>50796</v>
          </cell>
          <cell r="AF91">
            <v>50781</v>
          </cell>
          <cell r="AG91">
            <v>50778</v>
          </cell>
          <cell r="AH91">
            <v>50794</v>
          </cell>
          <cell r="AI91">
            <v>50835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4270</v>
          </cell>
          <cell r="F92">
            <v>4279</v>
          </cell>
          <cell r="G92">
            <v>4288</v>
          </cell>
          <cell r="H92">
            <v>4286</v>
          </cell>
          <cell r="I92">
            <v>4282</v>
          </cell>
          <cell r="J92">
            <v>4276</v>
          </cell>
          <cell r="K92">
            <v>4270</v>
          </cell>
          <cell r="L92">
            <v>4264</v>
          </cell>
          <cell r="M92">
            <v>4258</v>
          </cell>
          <cell r="N92">
            <v>4252</v>
          </cell>
          <cell r="O92">
            <v>4250</v>
          </cell>
          <cell r="P92">
            <v>4249</v>
          </cell>
          <cell r="T92">
            <v>89</v>
          </cell>
          <cell r="U92" t="str">
            <v>Commercial</v>
          </cell>
          <cell r="V92"/>
          <cell r="W92"/>
          <cell r="X92">
            <v>4401</v>
          </cell>
          <cell r="Y92">
            <v>4407</v>
          </cell>
          <cell r="Z92">
            <v>4415</v>
          </cell>
          <cell r="AA92">
            <v>4416</v>
          </cell>
          <cell r="AB92">
            <v>4411</v>
          </cell>
          <cell r="AC92">
            <v>4403</v>
          </cell>
          <cell r="AD92">
            <v>4398</v>
          </cell>
          <cell r="AE92">
            <v>4391</v>
          </cell>
          <cell r="AF92">
            <v>4383</v>
          </cell>
          <cell r="AG92">
            <v>4378</v>
          </cell>
          <cell r="AH92">
            <v>4372</v>
          </cell>
          <cell r="AI92">
            <v>4368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1527</v>
          </cell>
          <cell r="F93">
            <v>1537</v>
          </cell>
          <cell r="G93">
            <v>1546</v>
          </cell>
          <cell r="H93">
            <v>1556</v>
          </cell>
          <cell r="I93">
            <v>1566</v>
          </cell>
          <cell r="J93">
            <v>1577</v>
          </cell>
          <cell r="K93">
            <v>1586</v>
          </cell>
          <cell r="L93">
            <v>1595</v>
          </cell>
          <cell r="M93">
            <v>1606</v>
          </cell>
          <cell r="N93">
            <v>1616</v>
          </cell>
          <cell r="O93">
            <v>1625</v>
          </cell>
          <cell r="P93">
            <v>1633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1205</v>
          </cell>
          <cell r="Y93">
            <v>1214</v>
          </cell>
          <cell r="Z93">
            <v>1221</v>
          </cell>
          <cell r="AA93">
            <v>1228</v>
          </cell>
          <cell r="AB93">
            <v>1238</v>
          </cell>
          <cell r="AC93">
            <v>1247</v>
          </cell>
          <cell r="AD93">
            <v>1256</v>
          </cell>
          <cell r="AE93">
            <v>1267</v>
          </cell>
          <cell r="AF93">
            <v>1280</v>
          </cell>
          <cell r="AG93">
            <v>1294</v>
          </cell>
          <cell r="AH93">
            <v>1307</v>
          </cell>
          <cell r="AI93">
            <v>1321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V94"/>
          <cell r="W94"/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57275</v>
          </cell>
          <cell r="F95">
            <v>57363</v>
          </cell>
          <cell r="G95">
            <v>57483</v>
          </cell>
          <cell r="H95">
            <v>57583</v>
          </cell>
          <cell r="I95">
            <v>57622</v>
          </cell>
          <cell r="J95">
            <v>57664</v>
          </cell>
          <cell r="K95">
            <v>57698</v>
          </cell>
          <cell r="L95">
            <v>57738</v>
          </cell>
          <cell r="M95">
            <v>57771</v>
          </cell>
          <cell r="N95">
            <v>57808</v>
          </cell>
          <cell r="O95">
            <v>57866</v>
          </cell>
          <cell r="P95">
            <v>57928</v>
          </cell>
          <cell r="T95">
            <v>92</v>
          </cell>
          <cell r="U95" t="str">
            <v>Total customers</v>
          </cell>
          <cell r="V95"/>
          <cell r="W95"/>
          <cell r="X95">
            <v>56118</v>
          </cell>
          <cell r="Y95">
            <v>56215</v>
          </cell>
          <cell r="Z95">
            <v>56349</v>
          </cell>
          <cell r="AA95">
            <v>56428</v>
          </cell>
          <cell r="AB95">
            <v>56470</v>
          </cell>
          <cell r="AC95">
            <v>56476</v>
          </cell>
          <cell r="AD95">
            <v>56481</v>
          </cell>
          <cell r="AE95">
            <v>56454</v>
          </cell>
          <cell r="AF95">
            <v>56444</v>
          </cell>
          <cell r="AG95">
            <v>56450</v>
          </cell>
          <cell r="AH95">
            <v>56473</v>
          </cell>
          <cell r="AI95">
            <v>56524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- 2015 -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- 2014 -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172785.19330022397</v>
          </cell>
          <cell r="F99">
            <v>358876.34725873987</v>
          </cell>
          <cell r="G99">
            <v>501475.45622748416</v>
          </cell>
          <cell r="H99">
            <v>606903.30411919707</v>
          </cell>
          <cell r="I99">
            <v>686900.56383289851</v>
          </cell>
          <cell r="J99">
            <v>753133.59528678888</v>
          </cell>
          <cell r="K99">
            <v>817606.59528678888</v>
          </cell>
          <cell r="L99">
            <v>880176.59528678888</v>
          </cell>
          <cell r="M99">
            <v>945145.59528678888</v>
          </cell>
          <cell r="N99">
            <v>1012228.0765410493</v>
          </cell>
          <cell r="O99">
            <v>1096248.0395364724</v>
          </cell>
          <cell r="P99">
            <v>1215133.0395364724</v>
          </cell>
          <cell r="T99">
            <v>96</v>
          </cell>
          <cell r="U99" t="str">
            <v>Residential</v>
          </cell>
          <cell r="W99"/>
          <cell r="X99">
            <v>171895</v>
          </cell>
          <cell r="Y99">
            <v>338863</v>
          </cell>
          <cell r="Z99">
            <v>471475</v>
          </cell>
          <cell r="AA99">
            <v>587593</v>
          </cell>
          <cell r="AB99">
            <v>672769</v>
          </cell>
          <cell r="AC99">
            <v>744734</v>
          </cell>
          <cell r="AD99">
            <v>811657</v>
          </cell>
          <cell r="AE99">
            <v>869557.26633557305</v>
          </cell>
          <cell r="AF99">
            <v>932350.26633557305</v>
          </cell>
          <cell r="AG99">
            <v>1000188.266335573</v>
          </cell>
          <cell r="AH99">
            <v>1095806.266335573</v>
          </cell>
          <cell r="AI99">
            <v>1248047.266335573</v>
          </cell>
        </row>
        <row r="100">
          <cell r="A100">
            <v>97</v>
          </cell>
          <cell r="B100" t="str">
            <v>Commercial</v>
          </cell>
          <cell r="D100"/>
          <cell r="E100">
            <v>256252.56500146046</v>
          </cell>
          <cell r="F100">
            <v>554985.19914305164</v>
          </cell>
          <cell r="G100">
            <v>814909.74583698472</v>
          </cell>
          <cell r="H100">
            <v>1030968.3396630632</v>
          </cell>
          <cell r="I100">
            <v>1225435.2166715353</v>
          </cell>
          <cell r="J100">
            <v>1379942.568896679</v>
          </cell>
          <cell r="K100">
            <v>1535748.568896679</v>
          </cell>
          <cell r="L100">
            <v>1689516.568896679</v>
          </cell>
          <cell r="M100">
            <v>1836668.568896679</v>
          </cell>
          <cell r="N100">
            <v>1994469.9117732979</v>
          </cell>
          <cell r="O100">
            <v>2158961.4883630341</v>
          </cell>
          <cell r="P100">
            <v>2354482.4883630341</v>
          </cell>
          <cell r="T100">
            <v>97</v>
          </cell>
          <cell r="U100" t="str">
            <v>Commercial</v>
          </cell>
          <cell r="W100"/>
          <cell r="X100">
            <v>274480</v>
          </cell>
          <cell r="Y100">
            <v>534823</v>
          </cell>
          <cell r="Z100">
            <v>779193</v>
          </cell>
          <cell r="AA100">
            <v>1007050</v>
          </cell>
          <cell r="AB100">
            <v>1204999</v>
          </cell>
          <cell r="AC100">
            <v>1384081</v>
          </cell>
          <cell r="AD100">
            <v>1568386</v>
          </cell>
          <cell r="AE100">
            <v>1727037.3482325445</v>
          </cell>
          <cell r="AF100">
            <v>1888862.3482325445</v>
          </cell>
          <cell r="AG100">
            <v>2068317.3482325445</v>
          </cell>
          <cell r="AH100">
            <v>2276573.3482325445</v>
          </cell>
          <cell r="AI100">
            <v>2528529.3482325445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386113.98383484263</v>
          </cell>
          <cell r="F101">
            <v>770364.03836790333</v>
          </cell>
          <cell r="G101">
            <v>1100173.0256110625</v>
          </cell>
          <cell r="H101">
            <v>1433388.3523225242</v>
          </cell>
          <cell r="I101">
            <v>1756510.4674262344</v>
          </cell>
          <cell r="J101">
            <v>2097635.3091829782</v>
          </cell>
          <cell r="K101">
            <v>2386045.3091829782</v>
          </cell>
          <cell r="L101">
            <v>2676769.3091829782</v>
          </cell>
          <cell r="M101">
            <v>2956099.3091829782</v>
          </cell>
          <cell r="N101">
            <v>3246637.3430713797</v>
          </cell>
          <cell r="O101">
            <v>3551240.7124354853</v>
          </cell>
          <cell r="P101">
            <v>3883435.7124354853</v>
          </cell>
          <cell r="T101">
            <v>98</v>
          </cell>
          <cell r="U101" t="str">
            <v xml:space="preserve">Industrial </v>
          </cell>
          <cell r="W101"/>
          <cell r="X101">
            <v>480557</v>
          </cell>
          <cell r="Y101">
            <v>794140</v>
          </cell>
          <cell r="Z101">
            <v>1099439</v>
          </cell>
          <cell r="AA101">
            <v>1501385</v>
          </cell>
          <cell r="AB101">
            <v>1820331</v>
          </cell>
          <cell r="AC101">
            <v>2089723</v>
          </cell>
          <cell r="AD101">
            <v>2350115</v>
          </cell>
          <cell r="AE101">
            <v>2605784.618658097</v>
          </cell>
          <cell r="AF101">
            <v>2853987.618658097</v>
          </cell>
          <cell r="AG101">
            <v>3119177.618658097</v>
          </cell>
          <cell r="AH101">
            <v>3426193.618658097</v>
          </cell>
          <cell r="AI101">
            <v>3741292.618658097</v>
          </cell>
        </row>
        <row r="102">
          <cell r="A102">
            <v>99</v>
          </cell>
          <cell r="B102" t="str">
            <v>Other</v>
          </cell>
          <cell r="D102"/>
          <cell r="E102">
            <v>-36603.919466355052</v>
          </cell>
          <cell r="F102">
            <v>-42295.948875255628</v>
          </cell>
          <cell r="G102">
            <v>-79420.735806797165</v>
          </cell>
          <cell r="H102">
            <v>-36033.743694614866</v>
          </cell>
          <cell r="I102">
            <v>-35539.987145778563</v>
          </cell>
          <cell r="J102">
            <v>-105787.67202259228</v>
          </cell>
          <cell r="K102">
            <v>-136417.78644463921</v>
          </cell>
          <cell r="L102">
            <v>-121659.23721881391</v>
          </cell>
          <cell r="M102">
            <v>-147659.6485539001</v>
          </cell>
          <cell r="N102">
            <v>-106276.4564222417</v>
          </cell>
          <cell r="O102">
            <v>-83394.286785470831</v>
          </cell>
          <cell r="P102">
            <v>-82543.286785470831</v>
          </cell>
          <cell r="T102">
            <v>99</v>
          </cell>
          <cell r="U102" t="str">
            <v>Other</v>
          </cell>
          <cell r="W102"/>
          <cell r="X102">
            <v>-18024.150355438702</v>
          </cell>
          <cell r="Y102">
            <v>-37731.035154348043</v>
          </cell>
          <cell r="Z102">
            <v>-29219.982471516218</v>
          </cell>
          <cell r="AA102">
            <v>-60324.27695004383</v>
          </cell>
          <cell r="AB102">
            <v>-64233.128834355841</v>
          </cell>
          <cell r="AC102">
            <v>-80593.047034764837</v>
          </cell>
          <cell r="AD102">
            <v>-106541.04586619925</v>
          </cell>
          <cell r="AE102">
            <v>-79655.575031648652</v>
          </cell>
          <cell r="AF102">
            <v>-95397.12727626838</v>
          </cell>
          <cell r="AG102">
            <v>-82031.658389327102</v>
          </cell>
          <cell r="AH102">
            <v>-12090.086668614269</v>
          </cell>
          <cell r="AI102">
            <v>33550.189891907692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778547.82267017209</v>
          </cell>
          <cell r="F103">
            <v>1641929.6358944392</v>
          </cell>
          <cell r="G103">
            <v>2337137.4918687344</v>
          </cell>
          <cell r="H103">
            <v>3035226.2524101692</v>
          </cell>
          <cell r="I103">
            <v>3633306.2607848896</v>
          </cell>
          <cell r="J103">
            <v>4124923.8013438536</v>
          </cell>
          <cell r="K103">
            <v>4602982.686921807</v>
          </cell>
          <cell r="L103">
            <v>5124803.2361476319</v>
          </cell>
          <cell r="M103">
            <v>5590253.8248125454</v>
          </cell>
          <cell r="N103">
            <v>6147058.8749634856</v>
          </cell>
          <cell r="O103">
            <v>6723055.9535495201</v>
          </cell>
          <cell r="P103">
            <v>7370507.9535495201</v>
          </cell>
          <cell r="T103">
            <v>100</v>
          </cell>
          <cell r="U103" t="str">
            <v>Total Deliveries</v>
          </cell>
          <cell r="V103"/>
          <cell r="W103"/>
          <cell r="X103">
            <v>908907.8496445613</v>
          </cell>
          <cell r="Y103">
            <v>1630094.964845652</v>
          </cell>
          <cell r="Z103">
            <v>2320887.0175284836</v>
          </cell>
          <cell r="AA103">
            <v>3035703.7230499564</v>
          </cell>
          <cell r="AB103">
            <v>3633865.8711656444</v>
          </cell>
          <cell r="AC103">
            <v>4137944.9529652353</v>
          </cell>
          <cell r="AD103">
            <v>4623616.9541338012</v>
          </cell>
          <cell r="AE103">
            <v>5122723.6581945661</v>
          </cell>
          <cell r="AF103">
            <v>5579803.1059499457</v>
          </cell>
          <cell r="AG103">
            <v>6105651.5748368874</v>
          </cell>
          <cell r="AH103">
            <v>6786483.1465576002</v>
          </cell>
          <cell r="AI103">
            <v>7551419.4231181219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- 2015 -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- 2014 -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177433</v>
          </cell>
          <cell r="F107">
            <v>368530</v>
          </cell>
          <cell r="G107">
            <v>514965</v>
          </cell>
          <cell r="H107">
            <v>623229</v>
          </cell>
          <cell r="I107">
            <v>705378</v>
          </cell>
          <cell r="J107">
            <v>773393</v>
          </cell>
          <cell r="K107">
            <v>839600</v>
          </cell>
          <cell r="L107">
            <v>903853</v>
          </cell>
          <cell r="M107">
            <v>970570</v>
          </cell>
          <cell r="N107">
            <v>1039457</v>
          </cell>
          <cell r="O107">
            <v>1125737</v>
          </cell>
          <cell r="P107">
            <v>1247820</v>
          </cell>
          <cell r="T107">
            <v>104</v>
          </cell>
          <cell r="U107" t="str">
            <v>Residential</v>
          </cell>
          <cell r="X107">
            <v>176519</v>
          </cell>
          <cell r="Y107">
            <v>347978</v>
          </cell>
          <cell r="Z107">
            <v>484157</v>
          </cell>
          <cell r="AA107">
            <v>603399</v>
          </cell>
          <cell r="AB107">
            <v>690866</v>
          </cell>
          <cell r="AC107">
            <v>764767</v>
          </cell>
          <cell r="AD107">
            <v>833490</v>
          </cell>
          <cell r="AE107">
            <v>892948</v>
          </cell>
          <cell r="AF107">
            <v>957430</v>
          </cell>
          <cell r="AG107">
            <v>1027093</v>
          </cell>
          <cell r="AH107">
            <v>1125283</v>
          </cell>
          <cell r="AI107">
            <v>1281619</v>
          </cell>
        </row>
        <row r="108">
          <cell r="A108">
            <v>105</v>
          </cell>
          <cell r="B108" t="str">
            <v>Commercial</v>
          </cell>
          <cell r="D108"/>
          <cell r="E108">
            <v>263146</v>
          </cell>
          <cell r="F108">
            <v>569915</v>
          </cell>
          <cell r="G108">
            <v>836832</v>
          </cell>
          <cell r="H108">
            <v>1058703</v>
          </cell>
          <cell r="I108">
            <v>1258401</v>
          </cell>
          <cell r="J108">
            <v>1417065</v>
          </cell>
          <cell r="K108">
            <v>1577062</v>
          </cell>
          <cell r="L108">
            <v>1734966</v>
          </cell>
          <cell r="M108">
            <v>1886076</v>
          </cell>
          <cell r="N108">
            <v>2048122</v>
          </cell>
          <cell r="O108">
            <v>2217038</v>
          </cell>
          <cell r="P108">
            <v>2417819</v>
          </cell>
          <cell r="T108">
            <v>105</v>
          </cell>
          <cell r="U108" t="str">
            <v>Commercial</v>
          </cell>
          <cell r="X108">
            <v>281864</v>
          </cell>
          <cell r="Y108">
            <v>549210</v>
          </cell>
          <cell r="Z108">
            <v>800154</v>
          </cell>
          <cell r="AA108">
            <v>1034140</v>
          </cell>
          <cell r="AB108">
            <v>1237414</v>
          </cell>
          <cell r="AC108">
            <v>1421313</v>
          </cell>
          <cell r="AD108">
            <v>1610576</v>
          </cell>
          <cell r="AE108">
            <v>1773495</v>
          </cell>
          <cell r="AF108">
            <v>1939673</v>
          </cell>
          <cell r="AG108">
            <v>2123955</v>
          </cell>
          <cell r="AH108">
            <v>2337813</v>
          </cell>
          <cell r="AI108">
            <v>2596547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396500</v>
          </cell>
          <cell r="F109">
            <v>791086</v>
          </cell>
          <cell r="G109">
            <v>1129767</v>
          </cell>
          <cell r="H109">
            <v>1471946</v>
          </cell>
          <cell r="I109">
            <v>1803760</v>
          </cell>
          <cell r="J109">
            <v>2154061</v>
          </cell>
          <cell r="K109">
            <v>2450229</v>
          </cell>
          <cell r="L109">
            <v>2748773</v>
          </cell>
          <cell r="M109">
            <v>3035617</v>
          </cell>
          <cell r="N109">
            <v>3333971</v>
          </cell>
          <cell r="O109">
            <v>3646768</v>
          </cell>
          <cell r="P109">
            <v>3987899</v>
          </cell>
          <cell r="T109">
            <v>106</v>
          </cell>
          <cell r="U109" t="str">
            <v xml:space="preserve">Industrial </v>
          </cell>
          <cell r="W109"/>
          <cell r="X109">
            <v>493484</v>
          </cell>
          <cell r="Y109">
            <v>815502</v>
          </cell>
          <cell r="Z109">
            <v>1129014</v>
          </cell>
          <cell r="AA109">
            <v>1541772</v>
          </cell>
          <cell r="AB109">
            <v>1869298</v>
          </cell>
          <cell r="AC109">
            <v>2145937</v>
          </cell>
          <cell r="AD109">
            <v>2413334</v>
          </cell>
          <cell r="AE109">
            <v>2675881</v>
          </cell>
          <cell r="AF109">
            <v>2930761</v>
          </cell>
          <cell r="AG109">
            <v>3203085</v>
          </cell>
          <cell r="AH109">
            <v>3518360</v>
          </cell>
          <cell r="AI109">
            <v>3841935</v>
          </cell>
        </row>
        <row r="110">
          <cell r="A110">
            <v>107</v>
          </cell>
          <cell r="B110" t="str">
            <v>Other</v>
          </cell>
          <cell r="D110"/>
          <cell r="E110">
            <v>-37589</v>
          </cell>
          <cell r="F110">
            <v>-43434</v>
          </cell>
          <cell r="G110">
            <v>-81557</v>
          </cell>
          <cell r="H110">
            <v>-37003</v>
          </cell>
          <cell r="I110">
            <v>-36496</v>
          </cell>
          <cell r="J110">
            <v>-108633</v>
          </cell>
          <cell r="K110">
            <v>-140087</v>
          </cell>
          <cell r="L110">
            <v>-124931</v>
          </cell>
          <cell r="M110">
            <v>-151631</v>
          </cell>
          <cell r="N110">
            <v>-109135</v>
          </cell>
          <cell r="O110">
            <v>-85637</v>
          </cell>
          <cell r="P110">
            <v>-84763</v>
          </cell>
          <cell r="T110">
            <v>107</v>
          </cell>
          <cell r="U110" t="str">
            <v>Other</v>
          </cell>
          <cell r="W110"/>
          <cell r="X110">
            <v>-18509</v>
          </cell>
          <cell r="Y110">
            <v>-38746</v>
          </cell>
          <cell r="Z110">
            <v>-30006</v>
          </cell>
          <cell r="AA110">
            <v>-61947</v>
          </cell>
          <cell r="AB110">
            <v>-65961</v>
          </cell>
          <cell r="AC110">
            <v>-82761</v>
          </cell>
          <cell r="AD110">
            <v>-109407</v>
          </cell>
          <cell r="AE110">
            <v>-81798</v>
          </cell>
          <cell r="AF110">
            <v>-97963</v>
          </cell>
          <cell r="AG110">
            <v>-84238</v>
          </cell>
          <cell r="AH110">
            <v>-12415</v>
          </cell>
          <cell r="AI110">
            <v>34453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799490</v>
          </cell>
          <cell r="F111">
            <v>1686097</v>
          </cell>
          <cell r="G111">
            <v>2400007</v>
          </cell>
          <cell r="H111">
            <v>3116875</v>
          </cell>
          <cell r="I111">
            <v>3731043</v>
          </cell>
          <cell r="J111">
            <v>4235886</v>
          </cell>
          <cell r="K111">
            <v>4726804</v>
          </cell>
          <cell r="L111">
            <v>5262661</v>
          </cell>
          <cell r="M111">
            <v>5740632</v>
          </cell>
          <cell r="N111">
            <v>6312415</v>
          </cell>
          <cell r="O111">
            <v>6903906</v>
          </cell>
          <cell r="P111">
            <v>7568775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933358</v>
          </cell>
          <cell r="Y111">
            <v>1673944</v>
          </cell>
          <cell r="Z111">
            <v>2383319</v>
          </cell>
          <cell r="AA111">
            <v>3117364</v>
          </cell>
          <cell r="AB111">
            <v>3731617</v>
          </cell>
          <cell r="AC111">
            <v>4249256</v>
          </cell>
          <cell r="AD111">
            <v>4747993</v>
          </cell>
          <cell r="AE111">
            <v>5260526</v>
          </cell>
          <cell r="AF111">
            <v>5729901</v>
          </cell>
          <cell r="AG111">
            <v>6269895</v>
          </cell>
          <cell r="AH111">
            <v>6969041</v>
          </cell>
          <cell r="AI111">
            <v>7754554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58823</v>
          </cell>
          <cell r="F114">
            <v>58922</v>
          </cell>
          <cell r="G114">
            <v>59034</v>
          </cell>
          <cell r="H114">
            <v>59129</v>
          </cell>
          <cell r="I114">
            <v>59180</v>
          </cell>
          <cell r="J114">
            <v>59195</v>
          </cell>
          <cell r="K114">
            <v>59165</v>
          </cell>
          <cell r="L114">
            <v>59133</v>
          </cell>
          <cell r="M114">
            <v>59097</v>
          </cell>
          <cell r="N114">
            <v>59068</v>
          </cell>
          <cell r="O114">
            <v>59056</v>
          </cell>
          <cell r="P114">
            <v>59068</v>
          </cell>
          <cell r="T114">
            <v>111</v>
          </cell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961993.65079365089</v>
          </cell>
          <cell r="F115">
            <v>1717957.6200214238</v>
          </cell>
          <cell r="G115">
            <v>2455458.5159217063</v>
          </cell>
          <cell r="H115">
            <v>3260575.021910605</v>
          </cell>
          <cell r="I115">
            <v>3937501.1296134</v>
          </cell>
          <cell r="J115">
            <v>4519392.2679910418</v>
          </cell>
          <cell r="K115">
            <v>5068154.0948485741</v>
          </cell>
          <cell r="L115">
            <v>5606050.6767942356</v>
          </cell>
          <cell r="M115">
            <v>6181185.2760736197</v>
          </cell>
          <cell r="N115">
            <v>6801582.2760736197</v>
          </cell>
          <cell r="O115">
            <v>7504329.5250754701</v>
          </cell>
          <cell r="P115">
            <v>8352628.0643684883</v>
          </cell>
          <cell r="T115">
            <v>112</v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987871</v>
          </cell>
          <cell r="F116">
            <v>1764170</v>
          </cell>
          <cell r="G116">
            <v>2521510</v>
          </cell>
          <cell r="H116">
            <v>3348284</v>
          </cell>
          <cell r="I116">
            <v>4043419</v>
          </cell>
          <cell r="J116">
            <v>4640963</v>
          </cell>
          <cell r="K116">
            <v>5204487</v>
          </cell>
          <cell r="L116">
            <v>5756853</v>
          </cell>
          <cell r="M116">
            <v>6347459</v>
          </cell>
          <cell r="N116">
            <v>6984545</v>
          </cell>
          <cell r="O116">
            <v>7706196</v>
          </cell>
          <cell r="P116">
            <v>8577314</v>
          </cell>
          <cell r="T116">
            <v>113</v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</row>
      </sheetData>
      <sheetData sheetId="13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24039</v>
          </cell>
          <cell r="D5">
            <v>288472</v>
          </cell>
          <cell r="E5">
            <v>23878</v>
          </cell>
          <cell r="F5">
            <v>23931</v>
          </cell>
          <cell r="G5">
            <v>23944</v>
          </cell>
          <cell r="H5">
            <v>24043</v>
          </cell>
          <cell r="I5">
            <v>24043</v>
          </cell>
          <cell r="J5">
            <v>24048</v>
          </cell>
          <cell r="K5">
            <v>24092</v>
          </cell>
          <cell r="L5">
            <v>24133</v>
          </cell>
          <cell r="M5">
            <v>24085</v>
          </cell>
          <cell r="N5">
            <v>24023</v>
          </cell>
          <cell r="O5">
            <v>24143</v>
          </cell>
          <cell r="P5">
            <v>24109</v>
          </cell>
          <cell r="T5">
            <v>2</v>
          </cell>
          <cell r="U5" t="str">
            <v>Residential</v>
          </cell>
          <cell r="V5"/>
          <cell r="W5"/>
          <cell r="X5">
            <v>23727</v>
          </cell>
          <cell r="Y5">
            <v>23817</v>
          </cell>
          <cell r="Z5">
            <v>23905</v>
          </cell>
          <cell r="AA5">
            <v>23875</v>
          </cell>
          <cell r="AB5">
            <v>23903</v>
          </cell>
          <cell r="AC5">
            <v>23905</v>
          </cell>
          <cell r="AD5">
            <v>23911</v>
          </cell>
          <cell r="AE5">
            <v>23876</v>
          </cell>
          <cell r="AF5">
            <v>23896</v>
          </cell>
          <cell r="AG5">
            <v>23859</v>
          </cell>
          <cell r="AH5">
            <v>23848</v>
          </cell>
          <cell r="AI5">
            <v>23862</v>
          </cell>
        </row>
        <row r="6">
          <cell r="A6">
            <v>3</v>
          </cell>
          <cell r="B6" t="str">
            <v>Commercial</v>
          </cell>
          <cell r="C6">
            <v>7389</v>
          </cell>
          <cell r="D6">
            <v>88669</v>
          </cell>
          <cell r="E6">
            <v>7374</v>
          </cell>
          <cell r="F6">
            <v>7372</v>
          </cell>
          <cell r="G6">
            <v>7362</v>
          </cell>
          <cell r="H6">
            <v>7393</v>
          </cell>
          <cell r="I6">
            <v>7385</v>
          </cell>
          <cell r="J6">
            <v>7392</v>
          </cell>
          <cell r="K6">
            <v>7403</v>
          </cell>
          <cell r="L6">
            <v>7418</v>
          </cell>
          <cell r="M6">
            <v>7415</v>
          </cell>
          <cell r="N6">
            <v>7380</v>
          </cell>
          <cell r="O6">
            <v>7392</v>
          </cell>
          <cell r="P6">
            <v>7383</v>
          </cell>
          <cell r="T6">
            <v>3</v>
          </cell>
          <cell r="U6" t="str">
            <v>Commercial</v>
          </cell>
          <cell r="V6"/>
          <cell r="W6"/>
          <cell r="X6">
            <v>7415</v>
          </cell>
          <cell r="Y6">
            <v>7407</v>
          </cell>
          <cell r="Z6">
            <v>7424</v>
          </cell>
          <cell r="AA6">
            <v>7424</v>
          </cell>
          <cell r="AB6">
            <v>7408</v>
          </cell>
          <cell r="AC6">
            <v>7403</v>
          </cell>
          <cell r="AD6">
            <v>7418</v>
          </cell>
          <cell r="AE6">
            <v>7402</v>
          </cell>
          <cell r="AF6">
            <v>7413</v>
          </cell>
          <cell r="AG6">
            <v>7391</v>
          </cell>
          <cell r="AH6">
            <v>7374</v>
          </cell>
          <cell r="AI6">
            <v>7380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/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/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31430</v>
          </cell>
          <cell r="D9">
            <v>377165</v>
          </cell>
          <cell r="E9">
            <v>31254</v>
          </cell>
          <cell r="F9">
            <v>31305</v>
          </cell>
          <cell r="G9">
            <v>31308</v>
          </cell>
          <cell r="H9">
            <v>31438</v>
          </cell>
          <cell r="I9">
            <v>31430</v>
          </cell>
          <cell r="J9">
            <v>31442</v>
          </cell>
          <cell r="K9">
            <v>31497</v>
          </cell>
          <cell r="L9">
            <v>31553</v>
          </cell>
          <cell r="M9">
            <v>31502</v>
          </cell>
          <cell r="N9">
            <v>31405</v>
          </cell>
          <cell r="O9">
            <v>31537</v>
          </cell>
          <cell r="P9">
            <v>31494</v>
          </cell>
          <cell r="T9">
            <v>6</v>
          </cell>
          <cell r="U9" t="str">
            <v>Total customers</v>
          </cell>
          <cell r="V9"/>
          <cell r="W9"/>
          <cell r="X9">
            <v>31144</v>
          </cell>
          <cell r="Y9">
            <v>31226</v>
          </cell>
          <cell r="Z9">
            <v>31331</v>
          </cell>
          <cell r="AA9">
            <v>31301</v>
          </cell>
          <cell r="AB9">
            <v>31313</v>
          </cell>
          <cell r="AC9">
            <v>31310</v>
          </cell>
          <cell r="AD9">
            <v>31331</v>
          </cell>
          <cell r="AE9">
            <v>31280</v>
          </cell>
          <cell r="AF9">
            <v>31311</v>
          </cell>
          <cell r="AG9">
            <v>31252</v>
          </cell>
          <cell r="AH9">
            <v>31224</v>
          </cell>
          <cell r="AI9">
            <v>31244</v>
          </cell>
        </row>
        <row r="10">
          <cell r="A10">
            <v>7</v>
          </cell>
          <cell r="G10"/>
          <cell r="T10">
            <v>7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303642.13800000004</v>
          </cell>
          <cell r="E12">
            <v>27407.153999999999</v>
          </cell>
          <cell r="F12">
            <v>28408</v>
          </cell>
          <cell r="G12">
            <v>25037</v>
          </cell>
          <cell r="H12">
            <v>19382</v>
          </cell>
          <cell r="I12">
            <v>20243</v>
          </cell>
          <cell r="J12">
            <v>27010.544000000002</v>
          </cell>
          <cell r="K12">
            <v>34072.023999999998</v>
          </cell>
          <cell r="L12">
            <v>33401.144999999997</v>
          </cell>
          <cell r="M12">
            <v>29383.559000000001</v>
          </cell>
          <cell r="N12">
            <v>20672.712</v>
          </cell>
          <cell r="O12">
            <v>19001</v>
          </cell>
          <cell r="P12">
            <v>19624</v>
          </cell>
          <cell r="T12">
            <v>9</v>
          </cell>
          <cell r="U12" t="str">
            <v>Residential</v>
          </cell>
          <cell r="W12"/>
          <cell r="X12">
            <v>30645</v>
          </cell>
          <cell r="Y12">
            <v>31219</v>
          </cell>
          <cell r="Z12">
            <v>22626</v>
          </cell>
          <cell r="AA12">
            <v>18590</v>
          </cell>
          <cell r="AB12">
            <v>20085.392</v>
          </cell>
          <cell r="AC12">
            <v>26424.817999999999</v>
          </cell>
          <cell r="AD12">
            <v>32928.561999999998</v>
          </cell>
          <cell r="AE12">
            <v>30949.967000000001</v>
          </cell>
          <cell r="AF12">
            <v>31162.179</v>
          </cell>
          <cell r="AG12">
            <v>21607.998</v>
          </cell>
          <cell r="AH12">
            <v>19068.564999999999</v>
          </cell>
          <cell r="AI12">
            <v>24910.794999999998</v>
          </cell>
        </row>
        <row r="13">
          <cell r="A13">
            <v>10</v>
          </cell>
          <cell r="B13" t="str">
            <v>Commercial</v>
          </cell>
          <cell r="D13">
            <v>313756.68099999998</v>
          </cell>
          <cell r="E13">
            <v>24384</v>
          </cell>
          <cell r="F13">
            <v>23339</v>
          </cell>
          <cell r="G13">
            <v>23001</v>
          </cell>
          <cell r="H13">
            <v>21861</v>
          </cell>
          <cell r="I13">
            <v>24699</v>
          </cell>
          <cell r="J13">
            <v>27289.392</v>
          </cell>
          <cell r="K13">
            <v>32047.789000000001</v>
          </cell>
          <cell r="L13">
            <v>32437.244999999999</v>
          </cell>
          <cell r="M13">
            <v>30574.400000000001</v>
          </cell>
          <cell r="N13">
            <v>25916.855</v>
          </cell>
          <cell r="O13">
            <v>24549</v>
          </cell>
          <cell r="P13">
            <v>23658</v>
          </cell>
          <cell r="T13">
            <v>10</v>
          </cell>
          <cell r="U13" t="str">
            <v>Commercial</v>
          </cell>
          <cell r="W13"/>
          <cell r="X13">
            <v>25132</v>
          </cell>
          <cell r="Y13">
            <v>24318</v>
          </cell>
          <cell r="Z13">
            <v>22354</v>
          </cell>
          <cell r="AA13">
            <v>21750</v>
          </cell>
          <cell r="AB13">
            <v>24916.542000000001</v>
          </cell>
          <cell r="AC13">
            <v>27951.972000000002</v>
          </cell>
          <cell r="AD13">
            <v>31626.92</v>
          </cell>
          <cell r="AE13">
            <v>29817.628000000001</v>
          </cell>
          <cell r="AF13">
            <v>31010.788</v>
          </cell>
          <cell r="AG13">
            <v>26437.859</v>
          </cell>
          <cell r="AH13">
            <v>23776.083999999999</v>
          </cell>
          <cell r="AI13">
            <v>23465.699000000001</v>
          </cell>
        </row>
        <row r="14">
          <cell r="A14">
            <v>11</v>
          </cell>
          <cell r="B14" t="str">
            <v xml:space="preserve">Industrial </v>
          </cell>
          <cell r="D14">
            <v>18880</v>
          </cell>
          <cell r="E14">
            <v>2200</v>
          </cell>
          <cell r="F14">
            <v>3290</v>
          </cell>
          <cell r="G14">
            <v>2020</v>
          </cell>
          <cell r="H14">
            <v>740</v>
          </cell>
          <cell r="I14">
            <v>290</v>
          </cell>
          <cell r="J14">
            <v>1110</v>
          </cell>
          <cell r="K14">
            <v>1350</v>
          </cell>
          <cell r="L14">
            <v>1920</v>
          </cell>
          <cell r="M14">
            <v>1300</v>
          </cell>
          <cell r="N14">
            <v>410</v>
          </cell>
          <cell r="O14">
            <v>1200</v>
          </cell>
          <cell r="P14">
            <v>3050</v>
          </cell>
          <cell r="T14">
            <v>11</v>
          </cell>
          <cell r="U14" t="str">
            <v xml:space="preserve">Industrial </v>
          </cell>
          <cell r="W14"/>
          <cell r="X14">
            <v>1470</v>
          </cell>
          <cell r="Y14">
            <v>3680</v>
          </cell>
          <cell r="Z14">
            <v>4480</v>
          </cell>
          <cell r="AA14">
            <v>1660</v>
          </cell>
          <cell r="AB14">
            <v>4170</v>
          </cell>
          <cell r="AC14">
            <v>1410</v>
          </cell>
          <cell r="AD14">
            <v>5060</v>
          </cell>
          <cell r="AE14">
            <v>900</v>
          </cell>
          <cell r="AF14">
            <v>1130</v>
          </cell>
          <cell r="AG14">
            <v>1440</v>
          </cell>
          <cell r="AH14">
            <v>2520</v>
          </cell>
          <cell r="AI14">
            <v>1170</v>
          </cell>
        </row>
        <row r="15">
          <cell r="A15">
            <v>12</v>
          </cell>
          <cell r="B15" t="str">
            <v>Other</v>
          </cell>
          <cell r="D15">
            <v>-1740.4154899999967</v>
          </cell>
          <cell r="E15">
            <v>-1629.32</v>
          </cell>
          <cell r="F15">
            <v>-928.99218000000008</v>
          </cell>
          <cell r="G15">
            <v>-2221.3755699999997</v>
          </cell>
          <cell r="H15">
            <v>-2425.6199799999999</v>
          </cell>
          <cell r="I15">
            <v>6276.6736200000005</v>
          </cell>
          <cell r="J15">
            <v>6276.6736200000005</v>
          </cell>
          <cell r="K15">
            <v>2351.9720000000002</v>
          </cell>
          <cell r="L15">
            <v>869.64599999999996</v>
          </cell>
          <cell r="M15">
            <v>-4495.3509999999997</v>
          </cell>
          <cell r="N15">
            <v>-1903.722</v>
          </cell>
          <cell r="O15">
            <v>-2530</v>
          </cell>
          <cell r="P15">
            <v>-1381</v>
          </cell>
          <cell r="T15">
            <v>12</v>
          </cell>
          <cell r="U15" t="str">
            <v>Other</v>
          </cell>
          <cell r="W15"/>
          <cell r="X15">
            <v>0</v>
          </cell>
          <cell r="Y15">
            <v>-10235</v>
          </cell>
          <cell r="Z15">
            <v>-2132</v>
          </cell>
          <cell r="AA15">
            <v>-2239</v>
          </cell>
          <cell r="AB15">
            <v>3306.7919999999999</v>
          </cell>
          <cell r="AC15">
            <v>5283.6229999999996</v>
          </cell>
          <cell r="AD15">
            <v>738.75599999999997</v>
          </cell>
          <cell r="AE15">
            <v>4481.0219999999999</v>
          </cell>
          <cell r="AF15">
            <v>-3512.9340000000002</v>
          </cell>
          <cell r="AG15">
            <v>-2157.9872</v>
          </cell>
          <cell r="AH15">
            <v>-2852.4079999999999</v>
          </cell>
          <cell r="AI15">
            <v>786.43399999999997</v>
          </cell>
        </row>
        <row r="16">
          <cell r="A16">
            <v>13</v>
          </cell>
          <cell r="B16" t="str">
            <v>Total Deliveries</v>
          </cell>
          <cell r="C16"/>
          <cell r="D16">
            <v>634538.40350999997</v>
          </cell>
          <cell r="E16">
            <v>52361.833999999995</v>
          </cell>
          <cell r="F16">
            <v>54108.007819999999</v>
          </cell>
          <cell r="G16">
            <v>47836.624430000003</v>
          </cell>
          <cell r="H16">
            <v>39557.380019999997</v>
          </cell>
          <cell r="I16">
            <v>51508.673620000001</v>
          </cell>
          <cell r="J16">
            <v>61686.609620000003</v>
          </cell>
          <cell r="K16">
            <v>69821.784999999989</v>
          </cell>
          <cell r="L16">
            <v>68628.035999999993</v>
          </cell>
          <cell r="M16">
            <v>56762.608</v>
          </cell>
          <cell r="N16">
            <v>45095.844999999994</v>
          </cell>
          <cell r="O16">
            <v>42220</v>
          </cell>
          <cell r="P16">
            <v>44951</v>
          </cell>
          <cell r="T16">
            <v>13</v>
          </cell>
          <cell r="U16" t="str">
            <v>Total Deliveries</v>
          </cell>
          <cell r="V16"/>
          <cell r="W16"/>
          <cell r="X16">
            <v>57247</v>
          </cell>
          <cell r="Y16">
            <v>48982</v>
          </cell>
          <cell r="Z16">
            <v>47328</v>
          </cell>
          <cell r="AA16">
            <v>39761</v>
          </cell>
          <cell r="AB16">
            <v>52478.726000000002</v>
          </cell>
          <cell r="AC16">
            <v>61070.413</v>
          </cell>
          <cell r="AD16">
            <v>70354.237999999983</v>
          </cell>
          <cell r="AE16">
            <v>66148.616999999998</v>
          </cell>
          <cell r="AF16">
            <v>59790.033000000003</v>
          </cell>
          <cell r="AG16">
            <v>47327.8698</v>
          </cell>
          <cell r="AH16">
            <v>42512.240999999995</v>
          </cell>
          <cell r="AI16">
            <v>50332.928</v>
          </cell>
        </row>
        <row r="17">
          <cell r="A17">
            <v>14</v>
          </cell>
          <cell r="O17"/>
          <cell r="T17">
            <v>14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</row>
        <row r="18">
          <cell r="A18">
            <v>15</v>
          </cell>
          <cell r="O18"/>
          <cell r="T18">
            <v>15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32386.91372285835</v>
          </cell>
          <cell r="F20">
            <v>32399</v>
          </cell>
          <cell r="G20">
            <v>32410.148579547058</v>
          </cell>
          <cell r="H20">
            <v>32420.738072159067</v>
          </cell>
          <cell r="I20">
            <v>32431.348976645448</v>
          </cell>
          <cell r="J20">
            <v>32438.856600933621</v>
          </cell>
          <cell r="K20">
            <v>32451.519905731315</v>
          </cell>
          <cell r="L20">
            <v>32464.186301109436</v>
          </cell>
          <cell r="M20">
            <v>32474.791087388989</v>
          </cell>
          <cell r="N20">
            <v>32484.394288821597</v>
          </cell>
          <cell r="O20">
            <v>32498.074893412944</v>
          </cell>
          <cell r="P20">
            <v>32509.730822307698</v>
          </cell>
          <cell r="T20">
            <v>17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</row>
        <row r="21">
          <cell r="A21">
            <v>18</v>
          </cell>
          <cell r="B21" t="str">
            <v>Volume (KWH)</v>
          </cell>
          <cell r="C21"/>
          <cell r="D21"/>
          <cell r="E21">
            <v>56775</v>
          </cell>
          <cell r="F21">
            <v>50887</v>
          </cell>
          <cell r="G21">
            <v>47619</v>
          </cell>
          <cell r="H21">
            <v>44264</v>
          </cell>
          <cell r="I21">
            <v>47114</v>
          </cell>
          <cell r="J21">
            <v>57353.449110000001</v>
          </cell>
          <cell r="K21">
            <v>67743.95327482195</v>
          </cell>
          <cell r="L21">
            <v>66804.416955347697</v>
          </cell>
          <cell r="M21">
            <v>65689.565274162058</v>
          </cell>
          <cell r="N21">
            <v>56282.899934287401</v>
          </cell>
          <cell r="O21">
            <v>45161.5405680236</v>
          </cell>
          <cell r="P21">
            <v>49436.98926572717</v>
          </cell>
          <cell r="T21">
            <v>18</v>
          </cell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/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23977</v>
          </cell>
          <cell r="D27">
            <v>287726</v>
          </cell>
          <cell r="E27">
            <v>23878</v>
          </cell>
          <cell r="F27">
            <v>23905</v>
          </cell>
          <cell r="G27">
            <v>23918</v>
          </cell>
          <cell r="H27">
            <v>23949</v>
          </cell>
          <cell r="I27">
            <v>23968</v>
          </cell>
          <cell r="J27">
            <v>23981</v>
          </cell>
          <cell r="K27">
            <v>23997</v>
          </cell>
          <cell r="L27">
            <v>24014</v>
          </cell>
          <cell r="M27">
            <v>24022</v>
          </cell>
          <cell r="N27">
            <v>24022</v>
          </cell>
          <cell r="O27">
            <v>24033</v>
          </cell>
          <cell r="P27">
            <v>24039</v>
          </cell>
          <cell r="T27">
            <v>24</v>
          </cell>
          <cell r="U27" t="str">
            <v>Residential</v>
          </cell>
          <cell r="V27"/>
          <cell r="W27"/>
          <cell r="X27">
            <v>23727</v>
          </cell>
          <cell r="Y27">
            <v>23772</v>
          </cell>
          <cell r="Z27">
            <v>23816</v>
          </cell>
          <cell r="AA27">
            <v>23831</v>
          </cell>
          <cell r="AB27">
            <v>23845</v>
          </cell>
          <cell r="AC27">
            <v>23855</v>
          </cell>
          <cell r="AD27">
            <v>23863</v>
          </cell>
          <cell r="AE27">
            <v>23865</v>
          </cell>
          <cell r="AF27">
            <v>23868</v>
          </cell>
          <cell r="AG27">
            <v>23867</v>
          </cell>
          <cell r="AH27">
            <v>23866</v>
          </cell>
          <cell r="AI27">
            <v>23865</v>
          </cell>
        </row>
        <row r="28">
          <cell r="A28">
            <v>25</v>
          </cell>
          <cell r="B28" t="str">
            <v>Commercial</v>
          </cell>
          <cell r="C28">
            <v>7381</v>
          </cell>
          <cell r="D28">
            <v>88576</v>
          </cell>
          <cell r="E28">
            <v>7374</v>
          </cell>
          <cell r="F28">
            <v>7373</v>
          </cell>
          <cell r="G28">
            <v>7369</v>
          </cell>
          <cell r="H28">
            <v>7375</v>
          </cell>
          <cell r="I28">
            <v>7377</v>
          </cell>
          <cell r="J28">
            <v>7380</v>
          </cell>
          <cell r="K28">
            <v>7383</v>
          </cell>
          <cell r="L28">
            <v>7387</v>
          </cell>
          <cell r="M28">
            <v>7390</v>
          </cell>
          <cell r="N28">
            <v>7389</v>
          </cell>
          <cell r="O28">
            <v>7390</v>
          </cell>
          <cell r="P28">
            <v>7389</v>
          </cell>
          <cell r="T28">
            <v>25</v>
          </cell>
          <cell r="U28" t="str">
            <v>Commercial</v>
          </cell>
          <cell r="V28"/>
          <cell r="W28"/>
          <cell r="X28">
            <v>7415</v>
          </cell>
          <cell r="Y28">
            <v>7411</v>
          </cell>
          <cell r="Z28">
            <v>7415</v>
          </cell>
          <cell r="AA28">
            <v>7418</v>
          </cell>
          <cell r="AB28">
            <v>7416</v>
          </cell>
          <cell r="AC28">
            <v>7414</v>
          </cell>
          <cell r="AD28">
            <v>7414</v>
          </cell>
          <cell r="AE28">
            <v>7413</v>
          </cell>
          <cell r="AF28">
            <v>7413</v>
          </cell>
          <cell r="AG28">
            <v>7411</v>
          </cell>
          <cell r="AH28">
            <v>7407</v>
          </cell>
          <cell r="AI28">
            <v>7405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/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/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/>
          <cell r="N30"/>
          <cell r="O30"/>
          <cell r="P30"/>
          <cell r="T30">
            <v>27</v>
          </cell>
          <cell r="U30" t="str">
            <v>Other</v>
          </cell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/>
          <cell r="AG30"/>
          <cell r="AH30"/>
          <cell r="AI30"/>
        </row>
        <row r="31">
          <cell r="A31">
            <v>28</v>
          </cell>
          <cell r="B31" t="str">
            <v>Total customers</v>
          </cell>
          <cell r="C31">
            <v>31360</v>
          </cell>
          <cell r="D31">
            <v>376326</v>
          </cell>
          <cell r="E31">
            <v>31254</v>
          </cell>
          <cell r="F31">
            <v>31280</v>
          </cell>
          <cell r="G31">
            <v>31289</v>
          </cell>
          <cell r="H31">
            <v>31326</v>
          </cell>
          <cell r="I31">
            <v>31347</v>
          </cell>
          <cell r="J31">
            <v>31363</v>
          </cell>
          <cell r="K31">
            <v>31382</v>
          </cell>
          <cell r="L31">
            <v>31403</v>
          </cell>
          <cell r="M31">
            <v>31414</v>
          </cell>
          <cell r="N31">
            <v>31413</v>
          </cell>
          <cell r="O31">
            <v>31425</v>
          </cell>
          <cell r="P31">
            <v>31430</v>
          </cell>
          <cell r="T31">
            <v>28</v>
          </cell>
          <cell r="U31" t="str">
            <v>Total customers</v>
          </cell>
          <cell r="V31"/>
          <cell r="W31"/>
          <cell r="X31">
            <v>31144</v>
          </cell>
          <cell r="Y31">
            <v>31185</v>
          </cell>
          <cell r="Z31">
            <v>31233</v>
          </cell>
          <cell r="AA31">
            <v>31251</v>
          </cell>
          <cell r="AB31">
            <v>31263</v>
          </cell>
          <cell r="AC31">
            <v>31271</v>
          </cell>
          <cell r="AD31">
            <v>31279</v>
          </cell>
          <cell r="AE31">
            <v>31280</v>
          </cell>
          <cell r="AF31">
            <v>31283</v>
          </cell>
          <cell r="AG31">
            <v>31280</v>
          </cell>
          <cell r="AH31">
            <v>31275</v>
          </cell>
          <cell r="AI31">
            <v>31272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27407.153999999999</v>
          </cell>
          <cell r="F35">
            <v>55815.153999999995</v>
          </cell>
          <cell r="G35">
            <v>80852.153999999995</v>
          </cell>
          <cell r="H35">
            <v>100234.15399999999</v>
          </cell>
          <cell r="I35">
            <v>120477.15399999999</v>
          </cell>
          <cell r="J35">
            <v>147487.698</v>
          </cell>
          <cell r="K35">
            <v>181559.72200000001</v>
          </cell>
          <cell r="L35">
            <v>214960.867</v>
          </cell>
          <cell r="M35">
            <v>244344.42600000001</v>
          </cell>
          <cell r="N35">
            <v>265017.13800000004</v>
          </cell>
          <cell r="O35">
            <v>284018.13800000004</v>
          </cell>
          <cell r="P35">
            <v>303642.13800000004</v>
          </cell>
          <cell r="T35">
            <v>32</v>
          </cell>
          <cell r="U35" t="str">
            <v>Residential</v>
          </cell>
          <cell r="W35"/>
          <cell r="X35">
            <v>30645</v>
          </cell>
          <cell r="Y35">
            <v>61864</v>
          </cell>
          <cell r="Z35">
            <v>84490</v>
          </cell>
          <cell r="AA35">
            <v>103080</v>
          </cell>
          <cell r="AB35">
            <v>123165.39199999999</v>
          </cell>
          <cell r="AC35">
            <v>149590.21</v>
          </cell>
          <cell r="AD35">
            <v>182518.772</v>
          </cell>
          <cell r="AE35">
            <v>213468.739</v>
          </cell>
          <cell r="AF35">
            <v>244630.91800000001</v>
          </cell>
          <cell r="AG35">
            <v>266238.91600000003</v>
          </cell>
          <cell r="AH35">
            <v>285307.48100000003</v>
          </cell>
          <cell r="AI35">
            <v>310218.27600000001</v>
          </cell>
        </row>
        <row r="36">
          <cell r="A36">
            <v>33</v>
          </cell>
          <cell r="B36" t="str">
            <v>Commercial</v>
          </cell>
          <cell r="D36"/>
          <cell r="E36">
            <v>24384</v>
          </cell>
          <cell r="F36">
            <v>47723</v>
          </cell>
          <cell r="G36">
            <v>70724</v>
          </cell>
          <cell r="H36">
            <v>92585</v>
          </cell>
          <cell r="I36">
            <v>117284</v>
          </cell>
          <cell r="J36">
            <v>144573.39199999999</v>
          </cell>
          <cell r="K36">
            <v>176621.18099999998</v>
          </cell>
          <cell r="L36">
            <v>209058.42599999998</v>
          </cell>
          <cell r="M36">
            <v>239632.82599999997</v>
          </cell>
          <cell r="N36">
            <v>265549.68099999998</v>
          </cell>
          <cell r="O36">
            <v>290098.68099999998</v>
          </cell>
          <cell r="P36">
            <v>313756.68099999998</v>
          </cell>
          <cell r="T36">
            <v>33</v>
          </cell>
          <cell r="U36" t="str">
            <v>Commercial</v>
          </cell>
          <cell r="W36"/>
          <cell r="X36">
            <v>25132</v>
          </cell>
          <cell r="Y36">
            <v>49450</v>
          </cell>
          <cell r="Z36">
            <v>71804</v>
          </cell>
          <cell r="AA36">
            <v>93554</v>
          </cell>
          <cell r="AB36">
            <v>118470.542</v>
          </cell>
          <cell r="AC36">
            <v>146422.514</v>
          </cell>
          <cell r="AD36">
            <v>178049.43400000001</v>
          </cell>
          <cell r="AE36">
            <v>207867.06200000001</v>
          </cell>
          <cell r="AF36">
            <v>238877.85</v>
          </cell>
          <cell r="AG36">
            <v>265315.70900000003</v>
          </cell>
          <cell r="AH36">
            <v>289091.79300000001</v>
          </cell>
          <cell r="AI36">
            <v>312557.49200000003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2200</v>
          </cell>
          <cell r="F37">
            <v>5490</v>
          </cell>
          <cell r="G37">
            <v>7510</v>
          </cell>
          <cell r="H37">
            <v>8250</v>
          </cell>
          <cell r="I37">
            <v>8540</v>
          </cell>
          <cell r="J37">
            <v>9650</v>
          </cell>
          <cell r="K37">
            <v>11000</v>
          </cell>
          <cell r="L37">
            <v>12920</v>
          </cell>
          <cell r="M37">
            <v>14220</v>
          </cell>
          <cell r="N37">
            <v>14630</v>
          </cell>
          <cell r="O37">
            <v>15830</v>
          </cell>
          <cell r="P37">
            <v>18880</v>
          </cell>
          <cell r="T37">
            <v>34</v>
          </cell>
          <cell r="U37" t="str">
            <v xml:space="preserve">Industrial </v>
          </cell>
          <cell r="W37"/>
          <cell r="X37">
            <v>1470</v>
          </cell>
          <cell r="Y37">
            <v>5150</v>
          </cell>
          <cell r="Z37">
            <v>9630</v>
          </cell>
          <cell r="AA37">
            <v>11290</v>
          </cell>
          <cell r="AB37">
            <v>15460</v>
          </cell>
          <cell r="AC37">
            <v>16870</v>
          </cell>
          <cell r="AD37">
            <v>21930</v>
          </cell>
          <cell r="AE37">
            <v>22830</v>
          </cell>
          <cell r="AF37">
            <v>23960</v>
          </cell>
          <cell r="AG37">
            <v>25400</v>
          </cell>
          <cell r="AH37">
            <v>27920</v>
          </cell>
          <cell r="AI37">
            <v>29090</v>
          </cell>
        </row>
        <row r="38">
          <cell r="A38">
            <v>35</v>
          </cell>
          <cell r="B38" t="str">
            <v>Other</v>
          </cell>
          <cell r="D38"/>
          <cell r="E38">
            <v>-1629.32</v>
          </cell>
          <cell r="F38">
            <v>-2558.3121799999999</v>
          </cell>
          <cell r="G38">
            <v>-4779.6877499999991</v>
          </cell>
          <cell r="H38">
            <v>-7205.3077299999986</v>
          </cell>
          <cell r="I38">
            <v>-928.63410999999815</v>
          </cell>
          <cell r="J38">
            <v>5348.0395100000023</v>
          </cell>
          <cell r="K38">
            <v>7700.0115100000021</v>
          </cell>
          <cell r="L38">
            <v>8569.6575100000027</v>
          </cell>
          <cell r="M38">
            <v>4074.3065100000031</v>
          </cell>
          <cell r="N38">
            <v>2170.5845100000033</v>
          </cell>
          <cell r="O38">
            <v>-359.41548999999668</v>
          </cell>
          <cell r="P38">
            <v>-1740.4154899999967</v>
          </cell>
          <cell r="T38">
            <v>35</v>
          </cell>
          <cell r="U38" t="str">
            <v>Other</v>
          </cell>
          <cell r="W38"/>
          <cell r="X38">
            <v>0</v>
          </cell>
          <cell r="Y38">
            <v>-10235</v>
          </cell>
          <cell r="Z38">
            <v>-12367</v>
          </cell>
          <cell r="AA38">
            <v>-14606</v>
          </cell>
          <cell r="AB38">
            <v>-11299.208000000001</v>
          </cell>
          <cell r="AC38">
            <v>-6015.5850000000009</v>
          </cell>
          <cell r="AD38">
            <v>-5276.8290000000006</v>
          </cell>
          <cell r="AE38">
            <v>-795.8070000000007</v>
          </cell>
          <cell r="AF38">
            <v>-4308.7410000000009</v>
          </cell>
          <cell r="AG38">
            <v>-6466.7282000000014</v>
          </cell>
          <cell r="AH38">
            <v>-9319.1362000000008</v>
          </cell>
          <cell r="AI38">
            <v>-8532.7022000000015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52361.833999999995</v>
          </cell>
          <cell r="F39">
            <v>106469.84182</v>
          </cell>
          <cell r="G39">
            <v>154306.46624999997</v>
          </cell>
          <cell r="H39">
            <v>193863.84626999998</v>
          </cell>
          <cell r="I39">
            <v>245372.51989</v>
          </cell>
          <cell r="J39">
            <v>307059.12951</v>
          </cell>
          <cell r="K39">
            <v>376880.91450999997</v>
          </cell>
          <cell r="L39">
            <v>445508.95050999994</v>
          </cell>
          <cell r="M39">
            <v>502271.55851</v>
          </cell>
          <cell r="N39">
            <v>547367.40350999997</v>
          </cell>
          <cell r="O39">
            <v>589587.40350999997</v>
          </cell>
          <cell r="P39">
            <v>634538.40350999997</v>
          </cell>
          <cell r="T39">
            <v>36</v>
          </cell>
          <cell r="U39" t="str">
            <v>Total Deliveries</v>
          </cell>
          <cell r="V39"/>
          <cell r="W39"/>
          <cell r="X39">
            <v>57247</v>
          </cell>
          <cell r="Y39">
            <v>106229</v>
          </cell>
          <cell r="Z39">
            <v>153557</v>
          </cell>
          <cell r="AA39">
            <v>193318</v>
          </cell>
          <cell r="AB39">
            <v>245796.726</v>
          </cell>
          <cell r="AC39">
            <v>306867.13899999997</v>
          </cell>
          <cell r="AD39">
            <v>377221.37699999998</v>
          </cell>
          <cell r="AE39">
            <v>443369.99399999995</v>
          </cell>
          <cell r="AF39">
            <v>503160.02700000006</v>
          </cell>
          <cell r="AG39">
            <v>550487.89679999999</v>
          </cell>
          <cell r="AH39">
            <v>593000.13780000003</v>
          </cell>
          <cell r="AI39">
            <v>643333.06579999998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B41" t="str">
            <v xml:space="preserve">BUDGET </v>
          </cell>
          <cell r="C41"/>
          <cell r="D41"/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A42">
            <v>39</v>
          </cell>
          <cell r="B42" t="str">
            <v>Customers  - YTD average</v>
          </cell>
          <cell r="C42"/>
          <cell r="D42"/>
          <cell r="E42">
            <v>32386.91372285835</v>
          </cell>
          <cell r="F42">
            <v>32393</v>
          </cell>
          <cell r="G42">
            <v>32399</v>
          </cell>
          <cell r="H42">
            <v>32404</v>
          </cell>
          <cell r="I42">
            <v>32410</v>
          </cell>
          <cell r="J42">
            <v>32415</v>
          </cell>
          <cell r="K42">
            <v>32420</v>
          </cell>
          <cell r="L42">
            <v>32425</v>
          </cell>
          <cell r="M42">
            <v>32431</v>
          </cell>
          <cell r="N42">
            <v>32436</v>
          </cell>
          <cell r="O42">
            <v>32442</v>
          </cell>
          <cell r="P42">
            <v>32447</v>
          </cell>
          <cell r="T42">
            <v>39</v>
          </cell>
        </row>
        <row r="43">
          <cell r="A43">
            <v>40</v>
          </cell>
          <cell r="B43" t="str">
            <v>Volume (KWH)- cumulative total</v>
          </cell>
          <cell r="C43"/>
          <cell r="D43"/>
          <cell r="E43">
            <v>56775</v>
          </cell>
          <cell r="F43">
            <v>107662</v>
          </cell>
          <cell r="G43">
            <v>155281</v>
          </cell>
          <cell r="H43">
            <v>199545</v>
          </cell>
          <cell r="I43">
            <v>246659</v>
          </cell>
          <cell r="J43">
            <v>304012.44910999999</v>
          </cell>
          <cell r="K43">
            <v>371756.40238482191</v>
          </cell>
          <cell r="L43">
            <v>438560.8193401696</v>
          </cell>
          <cell r="M43">
            <v>504250.38461433165</v>
          </cell>
          <cell r="N43">
            <v>560533.28454861906</v>
          </cell>
          <cell r="O43">
            <v>605694.82511664263</v>
          </cell>
          <cell r="P43">
            <v>655131.81438236986</v>
          </cell>
          <cell r="T43">
            <v>40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19</v>
          </cell>
          <cell r="D7">
            <v>228</v>
          </cell>
          <cell r="E7">
            <v>19</v>
          </cell>
          <cell r="F7">
            <v>19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20</v>
          </cell>
          <cell r="L7">
            <v>19</v>
          </cell>
          <cell r="M7">
            <v>21</v>
          </cell>
          <cell r="N7">
            <v>18</v>
          </cell>
          <cell r="O7">
            <v>19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19</v>
          </cell>
          <cell r="W7">
            <v>222</v>
          </cell>
          <cell r="X7">
            <v>20</v>
          </cell>
          <cell r="Y7">
            <v>19</v>
          </cell>
          <cell r="Z7">
            <v>19</v>
          </cell>
          <cell r="AA7">
            <v>18</v>
          </cell>
          <cell r="AB7">
            <v>18</v>
          </cell>
          <cell r="AC7">
            <v>18</v>
          </cell>
          <cell r="AD7">
            <v>19</v>
          </cell>
          <cell r="AE7">
            <v>17</v>
          </cell>
          <cell r="AF7">
            <v>18</v>
          </cell>
          <cell r="AG7">
            <v>18</v>
          </cell>
          <cell r="AH7">
            <v>19</v>
          </cell>
          <cell r="AI7">
            <v>19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16</v>
          </cell>
          <cell r="D9">
            <v>192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16</v>
          </cell>
          <cell r="J9">
            <v>15</v>
          </cell>
          <cell r="K9">
            <v>17</v>
          </cell>
          <cell r="L9">
            <v>16</v>
          </cell>
          <cell r="M9">
            <v>18</v>
          </cell>
          <cell r="N9">
            <v>15</v>
          </cell>
          <cell r="O9">
            <v>16</v>
          </cell>
          <cell r="P9">
            <v>14</v>
          </cell>
          <cell r="T9">
            <v>6</v>
          </cell>
          <cell r="U9" t="str">
            <v>Total customers</v>
          </cell>
          <cell r="V9">
            <v>16</v>
          </cell>
          <cell r="W9">
            <v>186</v>
          </cell>
          <cell r="X9">
            <v>17</v>
          </cell>
          <cell r="Y9">
            <v>16</v>
          </cell>
          <cell r="Z9">
            <v>16</v>
          </cell>
          <cell r="AA9">
            <v>15</v>
          </cell>
          <cell r="AB9">
            <v>15</v>
          </cell>
          <cell r="AC9">
            <v>15</v>
          </cell>
          <cell r="AD9">
            <v>16</v>
          </cell>
          <cell r="AE9">
            <v>14</v>
          </cell>
          <cell r="AF9">
            <v>15</v>
          </cell>
          <cell r="AG9">
            <v>15</v>
          </cell>
          <cell r="AH9">
            <v>16</v>
          </cell>
          <cell r="AI9">
            <v>16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(2015)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- 2014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41893289</v>
          </cell>
          <cell r="E14">
            <v>4841809</v>
          </cell>
          <cell r="F14">
            <v>4623188</v>
          </cell>
          <cell r="G14">
            <v>4494023</v>
          </cell>
          <cell r="H14">
            <v>3383917</v>
          </cell>
          <cell r="I14">
            <v>3001043</v>
          </cell>
          <cell r="J14">
            <v>2879224</v>
          </cell>
          <cell r="K14">
            <v>2907950</v>
          </cell>
          <cell r="L14">
            <v>2868179</v>
          </cell>
          <cell r="M14">
            <v>2707737</v>
          </cell>
          <cell r="N14">
            <v>2783613</v>
          </cell>
          <cell r="O14">
            <v>3323172</v>
          </cell>
          <cell r="P14">
            <v>4079434</v>
          </cell>
          <cell r="T14">
            <v>11</v>
          </cell>
          <cell r="U14" t="str">
            <v>Transportation firm</v>
          </cell>
          <cell r="W14"/>
          <cell r="X14">
            <v>4141852</v>
          </cell>
          <cell r="Y14">
            <v>4249798</v>
          </cell>
          <cell r="Z14">
            <v>4259011</v>
          </cell>
          <cell r="AA14">
            <v>2807731</v>
          </cell>
          <cell r="AB14">
            <v>2673901</v>
          </cell>
          <cell r="AC14">
            <v>2235936</v>
          </cell>
          <cell r="AD14">
            <v>2511548</v>
          </cell>
          <cell r="AE14">
            <v>2632555</v>
          </cell>
          <cell r="AF14">
            <v>2749622</v>
          </cell>
          <cell r="AG14">
            <v>2881069</v>
          </cell>
          <cell r="AH14">
            <v>3517231</v>
          </cell>
          <cell r="AI14">
            <v>4015275</v>
          </cell>
        </row>
        <row r="15">
          <cell r="A15">
            <v>12</v>
          </cell>
          <cell r="B15" t="str">
            <v>Interruptible transportation</v>
          </cell>
          <cell r="D15">
            <v>5118002</v>
          </cell>
          <cell r="E15">
            <v>151493</v>
          </cell>
          <cell r="F15">
            <v>53434</v>
          </cell>
          <cell r="G15">
            <v>172435</v>
          </cell>
          <cell r="H15">
            <v>257018</v>
          </cell>
          <cell r="I15">
            <v>381436</v>
          </cell>
          <cell r="J15">
            <v>560911</v>
          </cell>
          <cell r="K15">
            <v>851712</v>
          </cell>
          <cell r="L15">
            <v>709718</v>
          </cell>
          <cell r="M15">
            <v>794572</v>
          </cell>
          <cell r="N15">
            <v>591661</v>
          </cell>
          <cell r="O15">
            <v>219151</v>
          </cell>
          <cell r="P15">
            <v>374461</v>
          </cell>
          <cell r="T15">
            <v>12</v>
          </cell>
          <cell r="U15" t="str">
            <v>Interruptible transporation</v>
          </cell>
          <cell r="W15"/>
          <cell r="X15">
            <v>174991</v>
          </cell>
          <cell r="Y15">
            <v>98755</v>
          </cell>
          <cell r="Z15">
            <v>164102</v>
          </cell>
          <cell r="AA15">
            <v>50935</v>
          </cell>
          <cell r="AB15">
            <v>74103</v>
          </cell>
          <cell r="AC15">
            <v>126531</v>
          </cell>
          <cell r="AD15">
            <v>198504</v>
          </cell>
          <cell r="AE15">
            <v>111294</v>
          </cell>
          <cell r="AF15">
            <v>129103</v>
          </cell>
          <cell r="AG15">
            <v>118607</v>
          </cell>
          <cell r="AH15">
            <v>224633</v>
          </cell>
          <cell r="AI15">
            <v>128383</v>
          </cell>
        </row>
        <row r="16">
          <cell r="A16">
            <v>13</v>
          </cell>
          <cell r="B16" t="str">
            <v>Less: ESNG to DE, MD &amp; SP</v>
          </cell>
          <cell r="D16">
            <v>-10947113</v>
          </cell>
          <cell r="E16">
            <v>-1771653</v>
          </cell>
          <cell r="F16">
            <v>-1824282</v>
          </cell>
          <cell r="G16">
            <v>-1408312</v>
          </cell>
          <cell r="H16">
            <v>-774044</v>
          </cell>
          <cell r="I16">
            <v>-531249</v>
          </cell>
          <cell r="J16">
            <v>-502830</v>
          </cell>
          <cell r="K16">
            <v>-470951</v>
          </cell>
          <cell r="L16">
            <v>-504684</v>
          </cell>
          <cell r="M16">
            <v>-546805</v>
          </cell>
          <cell r="N16">
            <v>-723011</v>
          </cell>
          <cell r="O16">
            <v>-891508</v>
          </cell>
          <cell r="P16">
            <v>-997784</v>
          </cell>
          <cell r="T16">
            <v>13</v>
          </cell>
          <cell r="U16" t="str">
            <v>Less: ESNG to DE, MD and SP</v>
          </cell>
          <cell r="W16"/>
          <cell r="X16">
            <v>-1760470</v>
          </cell>
          <cell r="Y16">
            <v>-1489044</v>
          </cell>
          <cell r="Z16">
            <v>-1384042</v>
          </cell>
          <cell r="AA16">
            <v>-784703</v>
          </cell>
          <cell r="AB16">
            <v>-536394</v>
          </cell>
          <cell r="AC16">
            <v>-479780</v>
          </cell>
          <cell r="AD16">
            <v>-454073</v>
          </cell>
          <cell r="AE16">
            <v>-474969</v>
          </cell>
          <cell r="AF16">
            <v>-556432</v>
          </cell>
          <cell r="AG16">
            <v>-681739</v>
          </cell>
          <cell r="AH16">
            <v>-1104408</v>
          </cell>
          <cell r="AI16">
            <v>-1347920</v>
          </cell>
        </row>
        <row r="17">
          <cell r="A17">
            <v>14</v>
          </cell>
          <cell r="B17" t="str">
            <v>Total Deliveries</v>
          </cell>
          <cell r="C17"/>
          <cell r="D17">
            <v>36064178</v>
          </cell>
          <cell r="E17">
            <v>3221649</v>
          </cell>
          <cell r="F17">
            <v>2852340</v>
          </cell>
          <cell r="G17">
            <v>3258146</v>
          </cell>
          <cell r="H17">
            <v>2866891</v>
          </cell>
          <cell r="I17">
            <v>2851230</v>
          </cell>
          <cell r="J17">
            <v>2937305</v>
          </cell>
          <cell r="K17">
            <v>3288711</v>
          </cell>
          <cell r="L17">
            <v>3073213</v>
          </cell>
          <cell r="M17">
            <v>2955504</v>
          </cell>
          <cell r="N17">
            <v>2652263</v>
          </cell>
          <cell r="O17">
            <v>2650815</v>
          </cell>
          <cell r="P17">
            <v>3456111</v>
          </cell>
          <cell r="T17">
            <v>14</v>
          </cell>
          <cell r="U17" t="str">
            <v>Total Deliveries</v>
          </cell>
          <cell r="V17"/>
          <cell r="W17"/>
          <cell r="X17">
            <v>2556373</v>
          </cell>
          <cell r="Y17">
            <v>2859509</v>
          </cell>
          <cell r="Z17">
            <v>3039071</v>
          </cell>
          <cell r="AA17">
            <v>2073963</v>
          </cell>
          <cell r="AB17">
            <v>2211610</v>
          </cell>
          <cell r="AC17">
            <v>1882687</v>
          </cell>
          <cell r="AD17">
            <v>2255979</v>
          </cell>
          <cell r="AE17">
            <v>2268880</v>
          </cell>
          <cell r="AF17">
            <v>2322293</v>
          </cell>
          <cell r="AG17">
            <v>2317937</v>
          </cell>
          <cell r="AH17">
            <v>2637456</v>
          </cell>
          <cell r="AI17">
            <v>2795738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1.06185</v>
          </cell>
          <cell r="F20">
            <v>1.0644100000000001</v>
          </cell>
          <cell r="G20">
            <v>1.0635699999999999</v>
          </cell>
          <cell r="H20">
            <v>1.05844</v>
          </cell>
          <cell r="I20">
            <v>1.05888</v>
          </cell>
          <cell r="J20">
            <v>1.0630299999999999</v>
          </cell>
          <cell r="K20">
            <v>1.05836</v>
          </cell>
          <cell r="L20">
            <v>1.0565500000000001</v>
          </cell>
          <cell r="M20">
            <v>1.05507</v>
          </cell>
          <cell r="N20">
            <v>1.0595300000000001</v>
          </cell>
          <cell r="O20">
            <v>1.05454</v>
          </cell>
          <cell r="P20">
            <v>1.05528</v>
          </cell>
          <cell r="T20">
            <v>17</v>
          </cell>
          <cell r="X20">
            <v>1.0648500000000001</v>
          </cell>
          <cell r="Y20">
            <v>1.05365</v>
          </cell>
          <cell r="Z20">
            <v>1.05331</v>
          </cell>
          <cell r="AA20">
            <v>1.0564499999999999</v>
          </cell>
          <cell r="AB20">
            <v>1.05789</v>
          </cell>
          <cell r="AC20">
            <v>1.05959</v>
          </cell>
          <cell r="AD20">
            <v>1.0670500000000001</v>
          </cell>
          <cell r="AE20">
            <v>1.0666</v>
          </cell>
          <cell r="AF20">
            <v>1.0642199999999999</v>
          </cell>
          <cell r="AG20">
            <v>1.0648599999999999</v>
          </cell>
          <cell r="AH20">
            <v>1.06724</v>
          </cell>
          <cell r="AI20">
            <v>1.06707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C22"/>
          <cell r="D22">
            <v>44385638.855889998</v>
          </cell>
          <cell r="E22">
            <v>5141275</v>
          </cell>
          <cell r="F22">
            <v>4920968</v>
          </cell>
          <cell r="G22">
            <v>4779708</v>
          </cell>
          <cell r="H22">
            <v>3581673</v>
          </cell>
          <cell r="I22">
            <v>3177744.4118400002</v>
          </cell>
          <cell r="J22">
            <v>3060701.4887199998</v>
          </cell>
          <cell r="K22">
            <v>3077657.9619999998</v>
          </cell>
          <cell r="L22">
            <v>3030374.5224500005</v>
          </cell>
          <cell r="M22">
            <v>2856852.0765899997</v>
          </cell>
          <cell r="N22">
            <v>2949321.4818900004</v>
          </cell>
          <cell r="O22">
            <v>3504417.80088</v>
          </cell>
          <cell r="P22">
            <v>4304945.1115199998</v>
          </cell>
          <cell r="T22">
            <v>19</v>
          </cell>
          <cell r="U22" t="str">
            <v>Transportation firm</v>
          </cell>
          <cell r="W22"/>
          <cell r="X22">
            <v>4410451.1022000005</v>
          </cell>
          <cell r="Y22">
            <v>4477799.6627000002</v>
          </cell>
          <cell r="Z22">
            <v>4486058.87641</v>
          </cell>
          <cell r="AA22">
            <v>2966227.4149499997</v>
          </cell>
          <cell r="AB22">
            <v>2828693.1288899998</v>
          </cell>
          <cell r="AC22">
            <v>2369175.4262399999</v>
          </cell>
          <cell r="AD22">
            <v>2679947.2934000003</v>
          </cell>
          <cell r="AE22">
            <v>2807883.1630000002</v>
          </cell>
          <cell r="AF22">
            <v>2926202.7248399998</v>
          </cell>
          <cell r="AG22">
            <v>3067935.1353399996</v>
          </cell>
          <cell r="AH22">
            <v>3753729.6124399998</v>
          </cell>
          <cell r="AI22">
            <v>4284579.4942499995</v>
          </cell>
        </row>
        <row r="23">
          <cell r="A23">
            <v>20</v>
          </cell>
          <cell r="B23" t="str">
            <v>Interruptible transportation</v>
          </cell>
          <cell r="C23"/>
          <cell r="D23">
            <v>5416080.9962199992</v>
          </cell>
          <cell r="E23">
            <v>160863</v>
          </cell>
          <cell r="F23">
            <v>56876</v>
          </cell>
          <cell r="G23">
            <v>183397</v>
          </cell>
          <cell r="H23">
            <v>272038</v>
          </cell>
          <cell r="I23">
            <v>403894.95168</v>
          </cell>
          <cell r="J23">
            <v>596265.22032999992</v>
          </cell>
          <cell r="K23">
            <v>901417.91232</v>
          </cell>
          <cell r="L23">
            <v>749852.55290000013</v>
          </cell>
          <cell r="M23">
            <v>838329.08003999991</v>
          </cell>
          <cell r="N23">
            <v>626882.5793300001</v>
          </cell>
          <cell r="O23">
            <v>231103.49554</v>
          </cell>
          <cell r="P23">
            <v>395161.20408</v>
          </cell>
          <cell r="T23">
            <v>20</v>
          </cell>
          <cell r="U23" t="str">
            <v>Interruptible transportation</v>
          </cell>
          <cell r="W23"/>
          <cell r="X23">
            <v>186339.16635000001</v>
          </cell>
          <cell r="Y23">
            <v>104053.20574999999</v>
          </cell>
          <cell r="Z23">
            <v>172850.27762000001</v>
          </cell>
          <cell r="AA23">
            <v>53810.280749999991</v>
          </cell>
          <cell r="AB23">
            <v>78392.822669999994</v>
          </cell>
          <cell r="AC23">
            <v>134070.98229000001</v>
          </cell>
          <cell r="AD23">
            <v>211813.69320000001</v>
          </cell>
          <cell r="AE23">
            <v>118706.1804</v>
          </cell>
          <cell r="AF23">
            <v>137393.99466</v>
          </cell>
          <cell r="AG23">
            <v>126299.85001999998</v>
          </cell>
          <cell r="AH23">
            <v>239737.32292000001</v>
          </cell>
          <cell r="AI23">
            <v>136993.64780999999</v>
          </cell>
        </row>
        <row r="24">
          <cell r="A24">
            <v>21</v>
          </cell>
          <cell r="B24" t="str">
            <v>Less: ESNG to DE, MD &amp; SP</v>
          </cell>
          <cell r="C24"/>
          <cell r="D24">
            <v>-11604884.638599999</v>
          </cell>
          <cell r="E24">
            <v>-1881230</v>
          </cell>
          <cell r="F24">
            <v>-1941784</v>
          </cell>
          <cell r="G24">
            <v>-1497838</v>
          </cell>
          <cell r="H24">
            <v>-819279</v>
          </cell>
          <cell r="I24">
            <v>-562528.94111999997</v>
          </cell>
          <cell r="J24">
            <v>-534523.37489999994</v>
          </cell>
          <cell r="K24">
            <v>-498435.70035999996</v>
          </cell>
          <cell r="L24">
            <v>-533223.88020000001</v>
          </cell>
          <cell r="M24">
            <v>-576917.55134999997</v>
          </cell>
          <cell r="N24">
            <v>-766051.84483000007</v>
          </cell>
          <cell r="O24">
            <v>-940130.84632000001</v>
          </cell>
          <cell r="P24">
            <v>-1052941.4995200001</v>
          </cell>
          <cell r="T24">
            <v>21</v>
          </cell>
          <cell r="U24" t="str">
            <v>Less: ESNG to DE, MD and SP</v>
          </cell>
          <cell r="W24"/>
          <cell r="X24">
            <v>-1874636.4795000001</v>
          </cell>
          <cell r="Y24">
            <v>-1568931.2105999999</v>
          </cell>
          <cell r="Z24">
            <v>-1457825.27902</v>
          </cell>
          <cell r="AA24">
            <v>-828999.48434999993</v>
          </cell>
          <cell r="AB24">
            <v>-567445.84866000002</v>
          </cell>
          <cell r="AC24">
            <v>-508370.09020000004</v>
          </cell>
          <cell r="AD24">
            <v>-484518.59465000004</v>
          </cell>
          <cell r="AE24">
            <v>-506601.93540000002</v>
          </cell>
          <cell r="AF24">
            <v>-592166.06303999992</v>
          </cell>
          <cell r="AG24">
            <v>-725956.59153999994</v>
          </cell>
          <cell r="AH24">
            <v>-1178668.3939199999</v>
          </cell>
          <cell r="AI24">
            <v>-1438324.9944</v>
          </cell>
        </row>
        <row r="25">
          <cell r="A25">
            <v>22</v>
          </cell>
          <cell r="B25" t="str">
            <v>Total Deliveries</v>
          </cell>
          <cell r="C25"/>
          <cell r="D25">
            <v>0</v>
          </cell>
          <cell r="E25">
            <v>3420908</v>
          </cell>
          <cell r="F25">
            <v>3036060</v>
          </cell>
          <cell r="G25">
            <v>3465267</v>
          </cell>
          <cell r="H25">
            <v>3034432</v>
          </cell>
          <cell r="I25">
            <v>3019110.4224</v>
          </cell>
          <cell r="J25">
            <v>3122443.3341499995</v>
          </cell>
          <cell r="K25">
            <v>3480640.1739599998</v>
          </cell>
          <cell r="L25">
            <v>3247003.1951500005</v>
          </cell>
          <cell r="M25">
            <v>3118263.6052799998</v>
          </cell>
          <cell r="N25">
            <v>2810152.2163900007</v>
          </cell>
          <cell r="O25">
            <v>2795390.4501</v>
          </cell>
          <cell r="P25">
            <v>3647164.8160799993</v>
          </cell>
          <cell r="T25">
            <v>22</v>
          </cell>
          <cell r="U25" t="str">
            <v>Total Deliveries</v>
          </cell>
          <cell r="V25"/>
          <cell r="W25"/>
          <cell r="X25">
            <v>2722153.7890499998</v>
          </cell>
          <cell r="Y25">
            <v>3012921.6578500001</v>
          </cell>
          <cell r="Z25">
            <v>3201083.8750099996</v>
          </cell>
          <cell r="AA25">
            <v>2191038.2113499995</v>
          </cell>
          <cell r="AB25">
            <v>2339640.1028999998</v>
          </cell>
          <cell r="AC25">
            <v>1994876.3183300002</v>
          </cell>
          <cell r="AD25">
            <v>2407242.3919500005</v>
          </cell>
          <cell r="AE25">
            <v>2419987.4080000003</v>
          </cell>
          <cell r="AF25">
            <v>2471430.6564599997</v>
          </cell>
          <cell r="AG25">
            <v>2468278.3938199994</v>
          </cell>
          <cell r="AH25">
            <v>2814798.5414399998</v>
          </cell>
          <cell r="AI25">
            <v>2983248.1476599993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39610580</v>
          </cell>
          <cell r="E29">
            <v>4764432</v>
          </cell>
          <cell r="F29">
            <v>4067702</v>
          </cell>
          <cell r="G29">
            <v>4297322</v>
          </cell>
          <cell r="H29">
            <v>3019281</v>
          </cell>
          <cell r="I29">
            <v>2771978</v>
          </cell>
          <cell r="J29">
            <v>2557702</v>
          </cell>
          <cell r="K29">
            <v>2738015</v>
          </cell>
          <cell r="L29">
            <v>2665898</v>
          </cell>
          <cell r="M29">
            <v>2690317</v>
          </cell>
          <cell r="N29">
            <v>2889860</v>
          </cell>
          <cell r="O29">
            <v>3348209</v>
          </cell>
          <cell r="P29">
            <v>3799864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-10943434</v>
          </cell>
          <cell r="E30">
            <v>-1807810</v>
          </cell>
          <cell r="F30">
            <v>-1368306</v>
          </cell>
          <cell r="G30">
            <v>-1403229</v>
          </cell>
          <cell r="H30">
            <v>-771432</v>
          </cell>
          <cell r="I30">
            <v>-547827</v>
          </cell>
          <cell r="J30">
            <v>-473497</v>
          </cell>
          <cell r="K30">
            <v>-444966</v>
          </cell>
          <cell r="L30">
            <v>-483534</v>
          </cell>
          <cell r="M30">
            <v>-560948</v>
          </cell>
          <cell r="N30">
            <v>-690039</v>
          </cell>
          <cell r="O30">
            <v>-1041854</v>
          </cell>
          <cell r="P30">
            <v>-1349992</v>
          </cell>
          <cell r="T30">
            <v>27</v>
          </cell>
        </row>
        <row r="31">
          <cell r="A31">
            <v>28</v>
          </cell>
          <cell r="D31">
            <v>28667146</v>
          </cell>
          <cell r="E31">
            <v>2956622</v>
          </cell>
          <cell r="F31">
            <v>2699396</v>
          </cell>
          <cell r="G31">
            <v>2894093</v>
          </cell>
          <cell r="H31">
            <v>2247849</v>
          </cell>
          <cell r="I31">
            <v>2224151</v>
          </cell>
          <cell r="J31">
            <v>2084205</v>
          </cell>
          <cell r="K31">
            <v>2293049</v>
          </cell>
          <cell r="L31">
            <v>2182364</v>
          </cell>
          <cell r="M31">
            <v>2129369</v>
          </cell>
          <cell r="N31">
            <v>2199821</v>
          </cell>
          <cell r="O31">
            <v>2306355</v>
          </cell>
          <cell r="P31">
            <v>2449872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40996950.299999997</v>
          </cell>
          <cell r="E33">
            <v>4931187.1199999992</v>
          </cell>
          <cell r="F33">
            <v>4210071.5699999994</v>
          </cell>
          <cell r="G33">
            <v>4447728.2699999996</v>
          </cell>
          <cell r="H33">
            <v>3124955.835</v>
          </cell>
          <cell r="I33">
            <v>2868997.23</v>
          </cell>
          <cell r="J33">
            <v>2647221.5699999998</v>
          </cell>
          <cell r="K33">
            <v>2833845.5249999999</v>
          </cell>
          <cell r="L33">
            <v>2759204.4299999997</v>
          </cell>
          <cell r="M33">
            <v>2784478.0949999997</v>
          </cell>
          <cell r="N33">
            <v>2991005.0999999996</v>
          </cell>
          <cell r="O33">
            <v>3465396.3149999999</v>
          </cell>
          <cell r="P33">
            <v>3932859.2399999998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-11326454.189999999</v>
          </cell>
          <cell r="E34">
            <v>-1871083.3499999999</v>
          </cell>
          <cell r="F34">
            <v>-1416196.71</v>
          </cell>
          <cell r="G34">
            <v>-1452342.0149999999</v>
          </cell>
          <cell r="H34">
            <v>-798432.12</v>
          </cell>
          <cell r="I34">
            <v>-567000.94499999995</v>
          </cell>
          <cell r="J34">
            <v>-490069.39499999996</v>
          </cell>
          <cell r="K34">
            <v>-460539.80999999994</v>
          </cell>
          <cell r="L34">
            <v>-500457.68999999994</v>
          </cell>
          <cell r="M34">
            <v>-580581.17999999993</v>
          </cell>
          <cell r="N34">
            <v>-714190.36499999999</v>
          </cell>
          <cell r="O34">
            <v>-1078318.8899999999</v>
          </cell>
          <cell r="P34">
            <v>-1397241.72</v>
          </cell>
          <cell r="T34">
            <v>31</v>
          </cell>
        </row>
        <row r="35">
          <cell r="A35">
            <v>32</v>
          </cell>
          <cell r="D35">
            <v>29670496.109999999</v>
          </cell>
          <cell r="E35">
            <v>3060103.7699999996</v>
          </cell>
          <cell r="F35">
            <v>2793874.8599999994</v>
          </cell>
          <cell r="G35">
            <v>2995386.2549999999</v>
          </cell>
          <cell r="H35">
            <v>2326523.7149999999</v>
          </cell>
          <cell r="I35">
            <v>2301996.2850000001</v>
          </cell>
          <cell r="J35">
            <v>2157152.1749999998</v>
          </cell>
          <cell r="K35">
            <v>2373305.7149999999</v>
          </cell>
          <cell r="L35">
            <v>2258746.7399999998</v>
          </cell>
          <cell r="M35">
            <v>2203896.915</v>
          </cell>
          <cell r="N35">
            <v>2276814.7349999994</v>
          </cell>
          <cell r="O35">
            <v>2387077.4249999998</v>
          </cell>
          <cell r="P35">
            <v>2535617.5199999996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- 2014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19</v>
          </cell>
          <cell r="F43">
            <v>19</v>
          </cell>
          <cell r="G43">
            <v>19</v>
          </cell>
          <cell r="H43">
            <v>19.25</v>
          </cell>
          <cell r="I43">
            <v>19.2</v>
          </cell>
          <cell r="J43">
            <v>19</v>
          </cell>
          <cell r="K43">
            <v>19.142857142857142</v>
          </cell>
          <cell r="L43">
            <v>19.125</v>
          </cell>
          <cell r="M43">
            <v>19.333333333333332</v>
          </cell>
          <cell r="N43">
            <v>19.2</v>
          </cell>
          <cell r="O43">
            <v>19.181818181818183</v>
          </cell>
          <cell r="P43">
            <v>19</v>
          </cell>
          <cell r="T43">
            <v>40</v>
          </cell>
          <cell r="U43" t="str">
            <v>Interruptible transporation</v>
          </cell>
          <cell r="V43"/>
          <cell r="W43"/>
          <cell r="X43">
            <v>20</v>
          </cell>
          <cell r="Y43">
            <v>19.5</v>
          </cell>
          <cell r="Z43">
            <v>19.333333333333332</v>
          </cell>
          <cell r="AA43">
            <v>19</v>
          </cell>
          <cell r="AB43">
            <v>18.8</v>
          </cell>
          <cell r="AC43">
            <v>18.666666666666668</v>
          </cell>
          <cell r="AD43">
            <v>18.714285714285715</v>
          </cell>
          <cell r="AE43">
            <v>18.5</v>
          </cell>
          <cell r="AF43">
            <v>18.444444444444443</v>
          </cell>
          <cell r="AG43">
            <v>18.399999999999999</v>
          </cell>
          <cell r="AH43">
            <v>18.454545454545453</v>
          </cell>
          <cell r="AI43">
            <v>18.5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16</v>
          </cell>
          <cell r="F45">
            <v>16</v>
          </cell>
          <cell r="G45">
            <v>16</v>
          </cell>
          <cell r="H45">
            <v>16.25</v>
          </cell>
          <cell r="I45">
            <v>16.2</v>
          </cell>
          <cell r="J45">
            <v>16</v>
          </cell>
          <cell r="K45">
            <v>16.142857142857142</v>
          </cell>
          <cell r="L45">
            <v>16.125</v>
          </cell>
          <cell r="M45">
            <v>16.333333333333332</v>
          </cell>
          <cell r="N45">
            <v>16.2</v>
          </cell>
          <cell r="O45">
            <v>16.181818181818183</v>
          </cell>
          <cell r="P45">
            <v>16</v>
          </cell>
          <cell r="T45">
            <v>42</v>
          </cell>
          <cell r="U45" t="str">
            <v>Total customers</v>
          </cell>
          <cell r="V45"/>
          <cell r="W45"/>
          <cell r="X45">
            <v>17</v>
          </cell>
          <cell r="Y45">
            <v>16.5</v>
          </cell>
          <cell r="Z45">
            <v>16.333333333333332</v>
          </cell>
          <cell r="AA45">
            <v>16</v>
          </cell>
          <cell r="AB45">
            <v>15.8</v>
          </cell>
          <cell r="AC45">
            <v>15.666666666666668</v>
          </cell>
          <cell r="AD45">
            <v>15.714285714285715</v>
          </cell>
          <cell r="AE45">
            <v>15.5</v>
          </cell>
          <cell r="AF45">
            <v>15.444444444444443</v>
          </cell>
          <cell r="AG45">
            <v>15.399999999999999</v>
          </cell>
          <cell r="AH45">
            <v>15.454545454545453</v>
          </cell>
          <cell r="AI45">
            <v>15.5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- 2014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4841809</v>
          </cell>
          <cell r="F51">
            <v>9464997</v>
          </cell>
          <cell r="G51">
            <v>13959020</v>
          </cell>
          <cell r="H51">
            <v>17342937</v>
          </cell>
          <cell r="I51">
            <v>20343980</v>
          </cell>
          <cell r="J51">
            <v>23223204</v>
          </cell>
          <cell r="K51">
            <v>26131154</v>
          </cell>
          <cell r="L51">
            <v>28999333</v>
          </cell>
          <cell r="M51">
            <v>31707070</v>
          </cell>
          <cell r="N51">
            <v>34490683</v>
          </cell>
          <cell r="O51">
            <v>37813855</v>
          </cell>
          <cell r="P51">
            <v>41893289</v>
          </cell>
          <cell r="T51">
            <v>48</v>
          </cell>
          <cell r="U51" t="str">
            <v>Transportation firm</v>
          </cell>
          <cell r="W51"/>
          <cell r="X51">
            <v>4141852</v>
          </cell>
          <cell r="Y51">
            <v>8391650</v>
          </cell>
          <cell r="Z51">
            <v>12650661</v>
          </cell>
          <cell r="AA51">
            <v>15458392</v>
          </cell>
          <cell r="AB51">
            <v>18132293</v>
          </cell>
          <cell r="AC51">
            <v>20368229</v>
          </cell>
          <cell r="AD51">
            <v>22879777</v>
          </cell>
          <cell r="AE51">
            <v>25512332</v>
          </cell>
          <cell r="AF51">
            <v>28261954</v>
          </cell>
          <cell r="AG51">
            <v>31143023</v>
          </cell>
          <cell r="AH51">
            <v>34660254</v>
          </cell>
          <cell r="AI51">
            <v>38675529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151493</v>
          </cell>
          <cell r="F52">
            <v>204927</v>
          </cell>
          <cell r="G52">
            <v>377362</v>
          </cell>
          <cell r="H52">
            <v>634380</v>
          </cell>
          <cell r="I52">
            <v>1015816</v>
          </cell>
          <cell r="J52">
            <v>1576727</v>
          </cell>
          <cell r="K52">
            <v>2428439</v>
          </cell>
          <cell r="L52">
            <v>3138157</v>
          </cell>
          <cell r="M52">
            <v>3932729</v>
          </cell>
          <cell r="N52">
            <v>4524390</v>
          </cell>
          <cell r="O52">
            <v>4743541</v>
          </cell>
          <cell r="P52">
            <v>5118002</v>
          </cell>
          <cell r="T52">
            <v>49</v>
          </cell>
          <cell r="U52" t="str">
            <v>Interruptible transporation</v>
          </cell>
          <cell r="W52"/>
          <cell r="X52">
            <v>174991</v>
          </cell>
          <cell r="Y52">
            <v>273746</v>
          </cell>
          <cell r="Z52">
            <v>437848</v>
          </cell>
          <cell r="AA52">
            <v>488783</v>
          </cell>
          <cell r="AB52">
            <v>562886</v>
          </cell>
          <cell r="AC52">
            <v>689417</v>
          </cell>
          <cell r="AD52">
            <v>887921</v>
          </cell>
          <cell r="AE52">
            <v>999215</v>
          </cell>
          <cell r="AF52">
            <v>1128318</v>
          </cell>
          <cell r="AG52">
            <v>1246925</v>
          </cell>
          <cell r="AH52">
            <v>1471558</v>
          </cell>
          <cell r="AI52">
            <v>1599941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-1771653</v>
          </cell>
          <cell r="F53">
            <v>-3595935</v>
          </cell>
          <cell r="G53">
            <v>-5004247</v>
          </cell>
          <cell r="H53">
            <v>-5778291</v>
          </cell>
          <cell r="I53">
            <v>-6309540</v>
          </cell>
          <cell r="J53">
            <v>-6812370</v>
          </cell>
          <cell r="K53">
            <v>-7283321</v>
          </cell>
          <cell r="L53">
            <v>-7788005</v>
          </cell>
          <cell r="M53">
            <v>-8334810</v>
          </cell>
          <cell r="N53">
            <v>-9057821</v>
          </cell>
          <cell r="O53">
            <v>-9949329</v>
          </cell>
          <cell r="P53">
            <v>-10947113</v>
          </cell>
          <cell r="T53">
            <v>50</v>
          </cell>
          <cell r="U53" t="str">
            <v>Less: ESNG to DE, MD &amp; SP</v>
          </cell>
          <cell r="W53"/>
          <cell r="X53">
            <v>-1760470</v>
          </cell>
          <cell r="Y53">
            <v>-3249514</v>
          </cell>
          <cell r="Z53">
            <v>-4633556</v>
          </cell>
          <cell r="AA53">
            <v>-5418259</v>
          </cell>
          <cell r="AB53">
            <v>-5954653</v>
          </cell>
          <cell r="AC53">
            <v>-6434433</v>
          </cell>
          <cell r="AD53">
            <v>-6888506</v>
          </cell>
          <cell r="AE53">
            <v>-7363475</v>
          </cell>
          <cell r="AF53">
            <v>-7919907</v>
          </cell>
          <cell r="AG53">
            <v>-8601646</v>
          </cell>
          <cell r="AH53">
            <v>-9706054</v>
          </cell>
          <cell r="AI53">
            <v>-11053974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3221649</v>
          </cell>
          <cell r="F54">
            <v>6073989</v>
          </cell>
          <cell r="G54">
            <v>9332135</v>
          </cell>
          <cell r="H54">
            <v>12199026</v>
          </cell>
          <cell r="I54">
            <v>15050256</v>
          </cell>
          <cell r="J54">
            <v>17987561</v>
          </cell>
          <cell r="K54">
            <v>21276272</v>
          </cell>
          <cell r="L54">
            <v>24349485</v>
          </cell>
          <cell r="M54">
            <v>27304989</v>
          </cell>
          <cell r="N54">
            <v>29957252</v>
          </cell>
          <cell r="O54">
            <v>32608067</v>
          </cell>
          <cell r="P54">
            <v>36064178</v>
          </cell>
          <cell r="T54">
            <v>51</v>
          </cell>
          <cell r="U54" t="str">
            <v>Total Deliveries</v>
          </cell>
          <cell r="V54"/>
          <cell r="W54"/>
          <cell r="X54">
            <v>2556373</v>
          </cell>
          <cell r="Y54">
            <v>5415882</v>
          </cell>
          <cell r="Z54">
            <v>8454953</v>
          </cell>
          <cell r="AA54">
            <v>10528916</v>
          </cell>
          <cell r="AB54">
            <v>12740526</v>
          </cell>
          <cell r="AC54">
            <v>14623213</v>
          </cell>
          <cell r="AD54">
            <v>16879192</v>
          </cell>
          <cell r="AE54">
            <v>19148072</v>
          </cell>
          <cell r="AF54">
            <v>21470365</v>
          </cell>
          <cell r="AG54">
            <v>23788302</v>
          </cell>
          <cell r="AH54">
            <v>26425758</v>
          </cell>
          <cell r="AI54">
            <v>29221496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5141275</v>
          </cell>
          <cell r="F58">
            <v>10062243</v>
          </cell>
          <cell r="G58">
            <v>14841951</v>
          </cell>
          <cell r="H58">
            <v>18423624</v>
          </cell>
          <cell r="I58">
            <v>21601368.411839999</v>
          </cell>
          <cell r="J58">
            <v>24662069.900559999</v>
          </cell>
          <cell r="K58">
            <v>27739727.86256</v>
          </cell>
          <cell r="L58">
            <v>30770102.38501</v>
          </cell>
          <cell r="M58">
            <v>33626954.461599998</v>
          </cell>
          <cell r="N58">
            <v>36576275.943489999</v>
          </cell>
          <cell r="O58">
            <v>40080693.744369999</v>
          </cell>
          <cell r="P58">
            <v>44385638.855889998</v>
          </cell>
          <cell r="T58">
            <v>55</v>
          </cell>
          <cell r="U58" t="str">
            <v>Transportation firm</v>
          </cell>
          <cell r="W58"/>
          <cell r="X58">
            <v>4410451.1022000005</v>
          </cell>
          <cell r="Y58">
            <v>8888250.7649000008</v>
          </cell>
          <cell r="Z58">
            <v>13374309.641310001</v>
          </cell>
          <cell r="AA58">
            <v>16340537.056260001</v>
          </cell>
          <cell r="AB58">
            <v>19169230.185150001</v>
          </cell>
          <cell r="AC58">
            <v>21538405.611390002</v>
          </cell>
          <cell r="AD58">
            <v>24218352.904790003</v>
          </cell>
          <cell r="AE58">
            <v>27026236.067790002</v>
          </cell>
          <cell r="AF58">
            <v>29952438.792630002</v>
          </cell>
          <cell r="AG58">
            <v>33020373.92797</v>
          </cell>
          <cell r="AH58">
            <v>36774103.540409997</v>
          </cell>
          <cell r="AI58">
            <v>41058683.034659997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160863</v>
          </cell>
          <cell r="F59">
            <v>217739</v>
          </cell>
          <cell r="G59">
            <v>401136</v>
          </cell>
          <cell r="H59">
            <v>673174</v>
          </cell>
          <cell r="I59">
            <v>1077068.9516799999</v>
          </cell>
          <cell r="J59">
            <v>1673334.1720099999</v>
          </cell>
          <cell r="K59">
            <v>2574752.08433</v>
          </cell>
          <cell r="L59">
            <v>3324604.63723</v>
          </cell>
          <cell r="M59">
            <v>4162933.7172699999</v>
          </cell>
          <cell r="N59">
            <v>4789816.2966</v>
          </cell>
          <cell r="O59">
            <v>5020919.7921399996</v>
          </cell>
          <cell r="P59">
            <v>5416080.9962199992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-1881230</v>
          </cell>
          <cell r="F60">
            <v>-3823014</v>
          </cell>
          <cell r="G60">
            <v>-5320852</v>
          </cell>
          <cell r="H60">
            <v>-6140131</v>
          </cell>
          <cell r="I60">
            <v>-6702659.9411199996</v>
          </cell>
          <cell r="J60">
            <v>-7237183.3160199998</v>
          </cell>
          <cell r="K60">
            <v>-7735619.0163799999</v>
          </cell>
          <cell r="L60">
            <v>-8268842.8965799995</v>
          </cell>
          <cell r="M60">
            <v>-8845760.4479299989</v>
          </cell>
          <cell r="N60">
            <v>-9611812.2927599996</v>
          </cell>
          <cell r="O60">
            <v>-10551943.139079999</v>
          </cell>
          <cell r="P60">
            <v>-11604884.638599999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3420908</v>
          </cell>
          <cell r="F61">
            <v>6456968</v>
          </cell>
          <cell r="G61">
            <v>9922235</v>
          </cell>
          <cell r="H61">
            <v>12956667</v>
          </cell>
          <cell r="I61">
            <v>15975777.422400001</v>
          </cell>
          <cell r="J61">
            <v>19098220.756549999</v>
          </cell>
          <cell r="K61">
            <v>22578860.930509999</v>
          </cell>
          <cell r="L61">
            <v>25825864.125659999</v>
          </cell>
          <cell r="M61">
            <v>28944127.730939999</v>
          </cell>
          <cell r="N61">
            <v>31754279.947329998</v>
          </cell>
          <cell r="O61">
            <v>34549670.397430003</v>
          </cell>
          <cell r="P61">
            <v>38196835.213509999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4764432</v>
          </cell>
          <cell r="F66">
            <v>8832134</v>
          </cell>
          <cell r="G66">
            <v>13129456</v>
          </cell>
          <cell r="H66">
            <v>16148737</v>
          </cell>
          <cell r="I66">
            <v>18920715</v>
          </cell>
          <cell r="J66">
            <v>21478417</v>
          </cell>
          <cell r="K66">
            <v>24216432</v>
          </cell>
          <cell r="L66">
            <v>26882330</v>
          </cell>
          <cell r="M66">
            <v>29572647</v>
          </cell>
          <cell r="N66">
            <v>32462507</v>
          </cell>
          <cell r="O66">
            <v>35810716</v>
          </cell>
          <cell r="P66">
            <v>39610580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-1807810</v>
          </cell>
          <cell r="F67">
            <v>-3176116</v>
          </cell>
          <cell r="G67">
            <v>-4579345</v>
          </cell>
          <cell r="H67">
            <v>-5350777</v>
          </cell>
          <cell r="I67">
            <v>-5898604</v>
          </cell>
          <cell r="J67">
            <v>-6372101</v>
          </cell>
          <cell r="K67">
            <v>-6817067</v>
          </cell>
          <cell r="L67">
            <v>-7300601</v>
          </cell>
          <cell r="M67">
            <v>-7861549</v>
          </cell>
          <cell r="N67">
            <v>-8551588</v>
          </cell>
          <cell r="O67">
            <v>-9593442</v>
          </cell>
          <cell r="P67">
            <v>-10943434</v>
          </cell>
        </row>
        <row r="68">
          <cell r="A68">
            <v>65</v>
          </cell>
          <cell r="D68"/>
          <cell r="E68">
            <v>2956622</v>
          </cell>
          <cell r="F68">
            <v>5656018</v>
          </cell>
          <cell r="G68">
            <v>8550111</v>
          </cell>
          <cell r="H68">
            <v>10797960</v>
          </cell>
          <cell r="I68">
            <v>13022111</v>
          </cell>
          <cell r="J68">
            <v>15106316</v>
          </cell>
          <cell r="K68">
            <v>17399365</v>
          </cell>
          <cell r="L68">
            <v>19581729</v>
          </cell>
          <cell r="M68">
            <v>21711098</v>
          </cell>
          <cell r="N68">
            <v>23910919</v>
          </cell>
          <cell r="O68">
            <v>26217274</v>
          </cell>
          <cell r="P68">
            <v>28667146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4931187.1199999992</v>
          </cell>
          <cell r="F70">
            <v>9141258.6899999976</v>
          </cell>
          <cell r="G70">
            <v>13588986.959999997</v>
          </cell>
          <cell r="H70">
            <v>16713942.794999998</v>
          </cell>
          <cell r="I70">
            <v>19582940.024999999</v>
          </cell>
          <cell r="J70">
            <v>22230161.594999999</v>
          </cell>
          <cell r="K70">
            <v>25064007.119999997</v>
          </cell>
          <cell r="L70">
            <v>27823211.549999997</v>
          </cell>
          <cell r="M70">
            <v>30607689.644999996</v>
          </cell>
          <cell r="N70">
            <v>33598694.744999997</v>
          </cell>
          <cell r="O70">
            <v>37064091.059999995</v>
          </cell>
          <cell r="P70">
            <v>40996950.299999997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-1871083.3499999999</v>
          </cell>
          <cell r="F71">
            <v>-3287280.0599999996</v>
          </cell>
          <cell r="G71">
            <v>-4739622.0749999993</v>
          </cell>
          <cell r="H71">
            <v>-5538054.1949999994</v>
          </cell>
          <cell r="I71">
            <v>-6105055.1399999997</v>
          </cell>
          <cell r="J71">
            <v>-6595124.5349999992</v>
          </cell>
          <cell r="K71">
            <v>-7055664.3449999988</v>
          </cell>
          <cell r="L71">
            <v>-7556122.0349999983</v>
          </cell>
          <cell r="M71">
            <v>-8136703.214999998</v>
          </cell>
          <cell r="N71">
            <v>-8850893.5799999982</v>
          </cell>
          <cell r="O71">
            <v>-9929212.4699999988</v>
          </cell>
          <cell r="P71">
            <v>-11326454.189999999</v>
          </cell>
        </row>
        <row r="72">
          <cell r="D72"/>
          <cell r="E72">
            <v>3060103.7699999996</v>
          </cell>
          <cell r="F72">
            <v>5853978.629999998</v>
          </cell>
          <cell r="G72">
            <v>8849364.8849999979</v>
          </cell>
          <cell r="H72">
            <v>11175888.599999998</v>
          </cell>
          <cell r="I72">
            <v>13477884.884999998</v>
          </cell>
          <cell r="J72">
            <v>15635037.059999999</v>
          </cell>
          <cell r="K72">
            <v>18008342.774999999</v>
          </cell>
          <cell r="L72">
            <v>20267089.515000001</v>
          </cell>
          <cell r="M72">
            <v>22470986.43</v>
          </cell>
          <cell r="N72">
            <v>24747801.164999999</v>
          </cell>
          <cell r="O72">
            <v>27134878.589999996</v>
          </cell>
          <cell r="P72">
            <v>29670496.109999999</v>
          </cell>
        </row>
      </sheetData>
      <sheetData sheetId="15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9648.5833333333339</v>
          </cell>
          <cell r="E5">
            <v>9803</v>
          </cell>
          <cell r="F5">
            <v>9772</v>
          </cell>
          <cell r="G5">
            <v>9765</v>
          </cell>
          <cell r="H5">
            <v>9697</v>
          </cell>
          <cell r="I5">
            <v>9651</v>
          </cell>
          <cell r="J5">
            <v>9626</v>
          </cell>
          <cell r="K5">
            <v>9592</v>
          </cell>
          <cell r="L5">
            <v>9589</v>
          </cell>
          <cell r="M5">
            <v>9570</v>
          </cell>
          <cell r="N5">
            <v>9572</v>
          </cell>
          <cell r="O5">
            <v>9566</v>
          </cell>
          <cell r="P5">
            <v>9580</v>
          </cell>
        </row>
        <row r="6">
          <cell r="A6">
            <v>3</v>
          </cell>
          <cell r="B6" t="str">
            <v>Commercial</v>
          </cell>
          <cell r="C6"/>
          <cell r="D6">
            <v>1068.5</v>
          </cell>
          <cell r="E6">
            <v>1056</v>
          </cell>
          <cell r="F6">
            <v>1052</v>
          </cell>
          <cell r="G6">
            <v>1049</v>
          </cell>
          <cell r="H6">
            <v>1050</v>
          </cell>
          <cell r="I6">
            <v>1081</v>
          </cell>
          <cell r="J6">
            <v>1089</v>
          </cell>
          <cell r="K6">
            <v>1096</v>
          </cell>
          <cell r="L6">
            <v>1095</v>
          </cell>
          <cell r="M6">
            <v>1094</v>
          </cell>
          <cell r="N6">
            <v>1078</v>
          </cell>
          <cell r="O6">
            <v>1048</v>
          </cell>
          <cell r="P6">
            <v>1034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4.25</v>
          </cell>
          <cell r="E7">
            <v>4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L7">
            <v>5</v>
          </cell>
          <cell r="M7">
            <v>5</v>
          </cell>
          <cell r="N7">
            <v>5</v>
          </cell>
          <cell r="O7">
            <v>4</v>
          </cell>
          <cell r="P7">
            <v>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10721.333333333334</v>
          </cell>
          <cell r="E9">
            <v>10863</v>
          </cell>
          <cell r="F9">
            <v>10828</v>
          </cell>
          <cell r="G9">
            <v>10818</v>
          </cell>
          <cell r="H9">
            <v>10751</v>
          </cell>
          <cell r="I9">
            <v>10736</v>
          </cell>
          <cell r="J9">
            <v>10719</v>
          </cell>
          <cell r="K9">
            <v>10692</v>
          </cell>
          <cell r="L9">
            <v>10689</v>
          </cell>
          <cell r="M9">
            <v>10669</v>
          </cell>
          <cell r="N9">
            <v>10655</v>
          </cell>
          <cell r="O9">
            <v>10618</v>
          </cell>
          <cell r="P9">
            <v>10618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</row>
        <row r="12">
          <cell r="A12">
            <v>9</v>
          </cell>
          <cell r="B12" t="str">
            <v>Residential</v>
          </cell>
          <cell r="D12">
            <v>269550</v>
          </cell>
          <cell r="E12">
            <v>50745</v>
          </cell>
          <cell r="F12">
            <v>64437</v>
          </cell>
          <cell r="G12">
            <v>56807</v>
          </cell>
          <cell r="H12">
            <v>26054</v>
          </cell>
          <cell r="I12">
            <v>10898</v>
          </cell>
          <cell r="J12">
            <v>6341</v>
          </cell>
          <cell r="K12">
            <v>5807</v>
          </cell>
          <cell r="L12">
            <v>6088</v>
          </cell>
          <cell r="M12">
            <v>5496</v>
          </cell>
          <cell r="N12">
            <v>6701</v>
          </cell>
          <cell r="O12">
            <v>11211</v>
          </cell>
          <cell r="P12">
            <v>18965</v>
          </cell>
        </row>
        <row r="13">
          <cell r="A13">
            <v>10</v>
          </cell>
          <cell r="B13" t="str">
            <v>Commercial</v>
          </cell>
          <cell r="D13">
            <v>447521</v>
          </cell>
          <cell r="E13">
            <v>42299</v>
          </cell>
          <cell r="F13">
            <v>46024</v>
          </cell>
          <cell r="G13">
            <v>50561</v>
          </cell>
          <cell r="H13">
            <v>36316</v>
          </cell>
          <cell r="I13">
            <v>30310</v>
          </cell>
          <cell r="J13">
            <v>32679</v>
          </cell>
          <cell r="K13">
            <v>39750</v>
          </cell>
          <cell r="L13">
            <v>44573</v>
          </cell>
          <cell r="M13">
            <v>39127</v>
          </cell>
          <cell r="N13">
            <v>31764</v>
          </cell>
          <cell r="O13">
            <v>25583</v>
          </cell>
          <cell r="P13">
            <v>28535</v>
          </cell>
        </row>
        <row r="14">
          <cell r="A14">
            <v>11</v>
          </cell>
          <cell r="B14" t="str">
            <v xml:space="preserve">Industrial </v>
          </cell>
          <cell r="D14">
            <v>74721</v>
          </cell>
          <cell r="E14">
            <v>4734</v>
          </cell>
          <cell r="F14">
            <v>4152</v>
          </cell>
          <cell r="G14">
            <v>4719</v>
          </cell>
          <cell r="H14">
            <v>7199</v>
          </cell>
          <cell r="I14">
            <v>6913</v>
          </cell>
          <cell r="J14">
            <v>7749</v>
          </cell>
          <cell r="K14">
            <v>5988</v>
          </cell>
          <cell r="L14">
            <v>5822</v>
          </cell>
          <cell r="M14">
            <v>8904</v>
          </cell>
          <cell r="N14">
            <v>6577</v>
          </cell>
          <cell r="O14">
            <v>5520</v>
          </cell>
          <cell r="P14">
            <v>6444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>
            <v>13</v>
          </cell>
          <cell r="B16" t="str">
            <v>Total customers</v>
          </cell>
          <cell r="D16">
            <v>791792</v>
          </cell>
          <cell r="E16">
            <v>97778</v>
          </cell>
          <cell r="F16">
            <v>114613</v>
          </cell>
          <cell r="G16">
            <v>112087</v>
          </cell>
          <cell r="H16">
            <v>69569</v>
          </cell>
          <cell r="I16">
            <v>48121</v>
          </cell>
          <cell r="J16">
            <v>46769</v>
          </cell>
          <cell r="K16">
            <v>51545</v>
          </cell>
          <cell r="L16">
            <v>56483</v>
          </cell>
          <cell r="M16">
            <v>53527</v>
          </cell>
          <cell r="N16">
            <v>45042</v>
          </cell>
          <cell r="O16">
            <v>42314</v>
          </cell>
          <cell r="P16">
            <v>53944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</row>
        <row r="21">
          <cell r="A21">
            <v>18</v>
          </cell>
          <cell r="B21" t="str">
            <v>Residential</v>
          </cell>
          <cell r="D21">
            <v>286059</v>
          </cell>
          <cell r="E21">
            <v>53884</v>
          </cell>
          <cell r="F21">
            <v>68587</v>
          </cell>
          <cell r="G21">
            <v>60418</v>
          </cell>
          <cell r="H21">
            <v>27577</v>
          </cell>
          <cell r="I21">
            <v>11540</v>
          </cell>
          <cell r="J21">
            <v>6741</v>
          </cell>
          <cell r="K21">
            <v>6146</v>
          </cell>
          <cell r="L21">
            <v>6432</v>
          </cell>
          <cell r="M21">
            <v>5799</v>
          </cell>
          <cell r="N21">
            <v>7100</v>
          </cell>
          <cell r="O21">
            <v>11822</v>
          </cell>
          <cell r="P21">
            <v>20013</v>
          </cell>
        </row>
        <row r="22">
          <cell r="A22">
            <v>19</v>
          </cell>
          <cell r="B22" t="str">
            <v>Commercial</v>
          </cell>
          <cell r="D22">
            <v>474141</v>
          </cell>
          <cell r="E22">
            <v>44915</v>
          </cell>
          <cell r="F22">
            <v>48988</v>
          </cell>
          <cell r="G22">
            <v>53775</v>
          </cell>
          <cell r="H22">
            <v>38438</v>
          </cell>
          <cell r="I22">
            <v>32095</v>
          </cell>
          <cell r="J22">
            <v>34739</v>
          </cell>
          <cell r="K22">
            <v>42070</v>
          </cell>
          <cell r="L22">
            <v>47094</v>
          </cell>
          <cell r="M22">
            <v>41282</v>
          </cell>
          <cell r="N22">
            <v>33655</v>
          </cell>
          <cell r="O22">
            <v>26978</v>
          </cell>
          <cell r="P22">
            <v>30112</v>
          </cell>
        </row>
        <row r="23">
          <cell r="A23">
            <v>20</v>
          </cell>
          <cell r="B23" t="str">
            <v xml:space="preserve">Industrial </v>
          </cell>
          <cell r="D23">
            <v>79114</v>
          </cell>
          <cell r="E23">
            <v>5027</v>
          </cell>
          <cell r="F23">
            <v>4419</v>
          </cell>
          <cell r="G23">
            <v>5019</v>
          </cell>
          <cell r="H23">
            <v>7620</v>
          </cell>
          <cell r="I23">
            <v>7320</v>
          </cell>
          <cell r="J23">
            <v>8237</v>
          </cell>
          <cell r="K23">
            <v>6337</v>
          </cell>
          <cell r="L23">
            <v>6151</v>
          </cell>
          <cell r="M23">
            <v>9394</v>
          </cell>
          <cell r="N23">
            <v>6969</v>
          </cell>
          <cell r="O23">
            <v>5821</v>
          </cell>
          <cell r="P23">
            <v>6800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839314</v>
          </cell>
          <cell r="E25">
            <v>103826</v>
          </cell>
          <cell r="F25">
            <v>121994</v>
          </cell>
          <cell r="G25">
            <v>119212</v>
          </cell>
          <cell r="H25">
            <v>73635</v>
          </cell>
          <cell r="I25">
            <v>50955</v>
          </cell>
          <cell r="J25">
            <v>49717</v>
          </cell>
          <cell r="K25">
            <v>54553</v>
          </cell>
          <cell r="L25">
            <v>59677</v>
          </cell>
          <cell r="M25">
            <v>56475</v>
          </cell>
          <cell r="N25">
            <v>47724</v>
          </cell>
          <cell r="O25">
            <v>44621</v>
          </cell>
          <cell r="P25">
            <v>56925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10938</v>
          </cell>
          <cell r="F28">
            <v>10976</v>
          </cell>
          <cell r="G28">
            <v>10942</v>
          </cell>
          <cell r="H28">
            <v>10900</v>
          </cell>
          <cell r="I28">
            <v>10893</v>
          </cell>
          <cell r="J28">
            <v>10914</v>
          </cell>
          <cell r="K28">
            <v>10971</v>
          </cell>
          <cell r="L28">
            <v>10972</v>
          </cell>
          <cell r="M28">
            <v>10980</v>
          </cell>
          <cell r="N28">
            <v>10958</v>
          </cell>
          <cell r="O28">
            <v>10929</v>
          </cell>
          <cell r="P28">
            <v>10976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90391</v>
          </cell>
          <cell r="F29">
            <v>113429</v>
          </cell>
          <cell r="G29">
            <v>96794</v>
          </cell>
          <cell r="H29">
            <v>65935</v>
          </cell>
          <cell r="I29">
            <v>46408</v>
          </cell>
          <cell r="J29">
            <v>45391</v>
          </cell>
          <cell r="K29">
            <v>54766</v>
          </cell>
          <cell r="L29">
            <v>50043</v>
          </cell>
          <cell r="M29">
            <v>49276</v>
          </cell>
          <cell r="N29">
            <v>42744</v>
          </cell>
          <cell r="O29">
            <v>53930</v>
          </cell>
          <cell r="P29">
            <v>83649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93554.684999999998</v>
          </cell>
          <cell r="F30">
            <v>117399.01499999998</v>
          </cell>
          <cell r="G30">
            <v>100181.79</v>
          </cell>
          <cell r="H30">
            <v>68242.724999999991</v>
          </cell>
          <cell r="I30">
            <v>48032.28</v>
          </cell>
          <cell r="J30">
            <v>46979.684999999998</v>
          </cell>
          <cell r="K30">
            <v>56682.81</v>
          </cell>
          <cell r="L30">
            <v>51794.504999999997</v>
          </cell>
          <cell r="M30">
            <v>51000.659999999996</v>
          </cell>
          <cell r="N30">
            <v>44240.039999999994</v>
          </cell>
          <cell r="O30">
            <v>55817.549999999996</v>
          </cell>
          <cell r="P30">
            <v>86576.714999999997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9803</v>
          </cell>
          <cell r="F34">
            <v>9788</v>
          </cell>
          <cell r="G34">
            <v>9780</v>
          </cell>
          <cell r="H34">
            <v>9759</v>
          </cell>
          <cell r="I34">
            <v>9738</v>
          </cell>
          <cell r="J34">
            <v>9719</v>
          </cell>
          <cell r="K34">
            <v>9701</v>
          </cell>
          <cell r="L34">
            <v>9687</v>
          </cell>
          <cell r="M34">
            <v>9674</v>
          </cell>
          <cell r="N34">
            <v>9664</v>
          </cell>
          <cell r="O34">
            <v>9655</v>
          </cell>
          <cell r="P34">
            <v>9649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1056</v>
          </cell>
          <cell r="F35">
            <v>1054</v>
          </cell>
          <cell r="G35">
            <v>1052</v>
          </cell>
          <cell r="H35">
            <v>1052</v>
          </cell>
          <cell r="I35">
            <v>1058</v>
          </cell>
          <cell r="J35">
            <v>1063</v>
          </cell>
          <cell r="K35">
            <v>1068</v>
          </cell>
          <cell r="L35">
            <v>1071</v>
          </cell>
          <cell r="M35">
            <v>1074</v>
          </cell>
          <cell r="N35">
            <v>1074</v>
          </cell>
          <cell r="O35">
            <v>1072</v>
          </cell>
          <cell r="P35">
            <v>1069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</v>
          </cell>
          <cell r="F36">
            <v>4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10863</v>
          </cell>
          <cell r="F38">
            <v>10846</v>
          </cell>
          <cell r="G38">
            <v>10836</v>
          </cell>
          <cell r="H38">
            <v>10815</v>
          </cell>
          <cell r="I38">
            <v>10800</v>
          </cell>
          <cell r="J38">
            <v>10786</v>
          </cell>
          <cell r="K38">
            <v>10773</v>
          </cell>
          <cell r="L38">
            <v>10762</v>
          </cell>
          <cell r="M38">
            <v>10752</v>
          </cell>
          <cell r="N38">
            <v>10742</v>
          </cell>
          <cell r="O38">
            <v>10731</v>
          </cell>
          <cell r="P38">
            <v>10722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50745</v>
          </cell>
          <cell r="F41">
            <v>115182</v>
          </cell>
          <cell r="G41">
            <v>171989</v>
          </cell>
          <cell r="H41">
            <v>198043</v>
          </cell>
          <cell r="I41">
            <v>208941</v>
          </cell>
          <cell r="J41">
            <v>215282</v>
          </cell>
          <cell r="K41">
            <v>221089</v>
          </cell>
          <cell r="L41">
            <v>227177</v>
          </cell>
          <cell r="M41">
            <v>232673</v>
          </cell>
          <cell r="N41">
            <v>239374</v>
          </cell>
          <cell r="O41">
            <v>250585</v>
          </cell>
          <cell r="P41">
            <v>269550</v>
          </cell>
        </row>
        <row r="42">
          <cell r="A42">
            <v>39</v>
          </cell>
          <cell r="B42" t="str">
            <v>Commercial</v>
          </cell>
          <cell r="D42"/>
          <cell r="E42">
            <v>42299</v>
          </cell>
          <cell r="F42">
            <v>88323</v>
          </cell>
          <cell r="G42">
            <v>138884</v>
          </cell>
          <cell r="H42">
            <v>175200</v>
          </cell>
          <cell r="I42">
            <v>205510</v>
          </cell>
          <cell r="J42">
            <v>238189</v>
          </cell>
          <cell r="K42">
            <v>277939</v>
          </cell>
          <cell r="L42">
            <v>322512</v>
          </cell>
          <cell r="M42">
            <v>361639</v>
          </cell>
          <cell r="N42">
            <v>393403</v>
          </cell>
          <cell r="O42">
            <v>418986</v>
          </cell>
          <cell r="P42">
            <v>447521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4734</v>
          </cell>
          <cell r="F43">
            <v>8886</v>
          </cell>
          <cell r="G43">
            <v>13605</v>
          </cell>
          <cell r="H43">
            <v>20804</v>
          </cell>
          <cell r="I43">
            <v>27717</v>
          </cell>
          <cell r="J43">
            <v>35466</v>
          </cell>
          <cell r="K43">
            <v>41454</v>
          </cell>
          <cell r="L43">
            <v>47276</v>
          </cell>
          <cell r="M43">
            <v>56180</v>
          </cell>
          <cell r="N43">
            <v>62757</v>
          </cell>
          <cell r="O43">
            <v>68277</v>
          </cell>
          <cell r="P43">
            <v>74721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97778</v>
          </cell>
          <cell r="F45">
            <v>212391</v>
          </cell>
          <cell r="G45">
            <v>324478</v>
          </cell>
          <cell r="H45">
            <v>394047</v>
          </cell>
          <cell r="I45">
            <v>442168</v>
          </cell>
          <cell r="J45">
            <v>488937</v>
          </cell>
          <cell r="K45">
            <v>540482</v>
          </cell>
          <cell r="L45">
            <v>596965</v>
          </cell>
          <cell r="M45">
            <v>650492</v>
          </cell>
          <cell r="N45">
            <v>695534</v>
          </cell>
          <cell r="O45">
            <v>737848</v>
          </cell>
          <cell r="P45">
            <v>791792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</row>
        <row r="47">
          <cell r="A47">
            <v>44</v>
          </cell>
          <cell r="B47" t="str">
            <v xml:space="preserve">Cumulative Volume - 2015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53884</v>
          </cell>
          <cell r="F48">
            <v>122471</v>
          </cell>
          <cell r="G48">
            <v>182889</v>
          </cell>
          <cell r="H48">
            <v>210466</v>
          </cell>
          <cell r="I48">
            <v>222006</v>
          </cell>
          <cell r="J48">
            <v>228747</v>
          </cell>
          <cell r="K48">
            <v>234893</v>
          </cell>
          <cell r="L48">
            <v>241325</v>
          </cell>
          <cell r="M48">
            <v>247124</v>
          </cell>
          <cell r="N48">
            <v>254224</v>
          </cell>
          <cell r="O48">
            <v>266046</v>
          </cell>
          <cell r="P48">
            <v>286059</v>
          </cell>
        </row>
        <row r="49">
          <cell r="A49">
            <v>46</v>
          </cell>
          <cell r="B49" t="str">
            <v>Commercial</v>
          </cell>
          <cell r="D49"/>
          <cell r="E49">
            <v>44915</v>
          </cell>
          <cell r="F49">
            <v>93903</v>
          </cell>
          <cell r="G49">
            <v>147678</v>
          </cell>
          <cell r="H49">
            <v>186116</v>
          </cell>
          <cell r="I49">
            <v>218211</v>
          </cell>
          <cell r="J49">
            <v>252950</v>
          </cell>
          <cell r="K49">
            <v>295020</v>
          </cell>
          <cell r="L49">
            <v>342114</v>
          </cell>
          <cell r="M49">
            <v>383396</v>
          </cell>
          <cell r="N49">
            <v>417051</v>
          </cell>
          <cell r="O49">
            <v>444029</v>
          </cell>
          <cell r="P49">
            <v>474141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5027</v>
          </cell>
          <cell r="F50">
            <v>9446</v>
          </cell>
          <cell r="G50">
            <v>14465</v>
          </cell>
          <cell r="H50">
            <v>22085</v>
          </cell>
          <cell r="I50">
            <v>29405</v>
          </cell>
          <cell r="J50">
            <v>37642</v>
          </cell>
          <cell r="K50">
            <v>43979</v>
          </cell>
          <cell r="L50">
            <v>50130</v>
          </cell>
          <cell r="M50">
            <v>59524</v>
          </cell>
          <cell r="N50">
            <v>66493</v>
          </cell>
          <cell r="O50">
            <v>72314</v>
          </cell>
          <cell r="P50">
            <v>79114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103826</v>
          </cell>
          <cell r="F52">
            <v>225820</v>
          </cell>
          <cell r="G52">
            <v>345032</v>
          </cell>
          <cell r="H52">
            <v>418667</v>
          </cell>
          <cell r="I52">
            <v>469622</v>
          </cell>
          <cell r="J52">
            <v>519339</v>
          </cell>
          <cell r="K52">
            <v>573892</v>
          </cell>
          <cell r="L52">
            <v>633569</v>
          </cell>
          <cell r="M52">
            <v>690044</v>
          </cell>
          <cell r="N52">
            <v>737768</v>
          </cell>
          <cell r="O52">
            <v>782389</v>
          </cell>
          <cell r="P52">
            <v>839314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10938</v>
          </cell>
          <cell r="F55">
            <v>10957</v>
          </cell>
          <cell r="G55">
            <v>10952</v>
          </cell>
          <cell r="H55">
            <v>10939</v>
          </cell>
          <cell r="I55">
            <v>10930</v>
          </cell>
          <cell r="J55">
            <v>10927</v>
          </cell>
          <cell r="K55">
            <v>10933</v>
          </cell>
          <cell r="L55">
            <v>10938</v>
          </cell>
          <cell r="M55">
            <v>10943</v>
          </cell>
          <cell r="N55">
            <v>10944</v>
          </cell>
          <cell r="O55">
            <v>10943</v>
          </cell>
          <cell r="P55">
            <v>10946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90391</v>
          </cell>
          <cell r="F56">
            <v>203820</v>
          </cell>
          <cell r="G56">
            <v>300614</v>
          </cell>
          <cell r="H56">
            <v>366549</v>
          </cell>
          <cell r="I56">
            <v>412957</v>
          </cell>
          <cell r="J56">
            <v>458348</v>
          </cell>
          <cell r="K56">
            <v>513114</v>
          </cell>
          <cell r="L56">
            <v>563157</v>
          </cell>
          <cell r="M56">
            <v>612433</v>
          </cell>
          <cell r="N56">
            <v>655177</v>
          </cell>
          <cell r="O56">
            <v>709107</v>
          </cell>
          <cell r="P56">
            <v>792756</v>
          </cell>
        </row>
        <row r="57">
          <cell r="A57">
            <v>54</v>
          </cell>
          <cell r="B57" t="str">
            <v>Cumulative YTD Budget Volume (Dts) * 1.035</v>
          </cell>
          <cell r="E57">
            <v>93554.684999999998</v>
          </cell>
          <cell r="F57">
            <v>210953.69999999998</v>
          </cell>
          <cell r="G57">
            <v>311135.49</v>
          </cell>
          <cell r="H57">
            <v>379378.21499999997</v>
          </cell>
          <cell r="I57">
            <v>427410.495</v>
          </cell>
          <cell r="J57">
            <v>474390.18</v>
          </cell>
          <cell r="K57">
            <v>531072.99</v>
          </cell>
          <cell r="L57">
            <v>582867.495</v>
          </cell>
          <cell r="M57">
            <v>633868.15500000003</v>
          </cell>
          <cell r="N57">
            <v>678108.19500000007</v>
          </cell>
          <cell r="O57">
            <v>733925.74500000011</v>
          </cell>
          <cell r="P57">
            <v>820502.46000000008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AEO"/>
      <sheetName val="PESCO"/>
      <sheetName val="Floridapropane"/>
      <sheetName val="Utility stats YTD Q2 2016"/>
      <sheetName val="Utility stats Q2 2016"/>
      <sheetName val="Utility stats YTD Q1 2016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7">
          <cell r="B7" t="str">
            <v>For the Twelve Months ended December 31, 2016 and 2015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2016 and 2015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2016</v>
          </cell>
          <cell r="J14" t="str">
            <v>Actual customers for the Month of January 2015</v>
          </cell>
          <cell r="K14" t="str">
            <v>Average customers for the One Month ended January 31, 2016</v>
          </cell>
          <cell r="L14" t="str">
            <v>Average customers for the One Month ended January 31, 2015</v>
          </cell>
          <cell r="M14" t="str">
            <v>Volume for the Month of January 2016</v>
          </cell>
          <cell r="N14" t="str">
            <v>Volume for the Month of January 2015</v>
          </cell>
          <cell r="O14" t="str">
            <v>Volume for the One Month ended January 31, 2016</v>
          </cell>
          <cell r="P14" t="str">
            <v>Volume for the One Month ended January 31, 2015</v>
          </cell>
        </row>
        <row r="15">
          <cell r="A15">
            <v>2</v>
          </cell>
          <cell r="B15" t="str">
            <v>February</v>
          </cell>
          <cell r="C15">
            <v>29</v>
          </cell>
          <cell r="D15" t="str">
            <v>Two</v>
          </cell>
          <cell r="E15" t="str">
            <v>Months</v>
          </cell>
          <cell r="F15" t="str">
            <v>For the Two Months ended February 29, 2016 and 2015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2016</v>
          </cell>
          <cell r="J15" t="str">
            <v>Actual customers for the Month of February 2015</v>
          </cell>
          <cell r="K15" t="str">
            <v>Average customers for the Two Months ended February 29, 2016</v>
          </cell>
          <cell r="L15" t="str">
            <v>Average customers for the Two Months ended February 29, 2015</v>
          </cell>
          <cell r="M15" t="str">
            <v>Volume for the Month of February 2016</v>
          </cell>
          <cell r="N15" t="str">
            <v>Volume for the Month of February 2015</v>
          </cell>
          <cell r="O15" t="str">
            <v>Volume for the Two Months ended February 29, 2016</v>
          </cell>
          <cell r="P15" t="str">
            <v>Volume for the Two Months ended February 29, 2015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2016 and 2015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2016</v>
          </cell>
          <cell r="J16" t="str">
            <v>Actual customers for the Month of March 2015</v>
          </cell>
          <cell r="K16" t="str">
            <v>Average customers for the Three Months ended March 31, 2016</v>
          </cell>
          <cell r="L16" t="str">
            <v>Average customers for the Three Months ended March 31, 2015</v>
          </cell>
          <cell r="M16" t="str">
            <v>Volume for the Month of March 2016</v>
          </cell>
          <cell r="N16" t="str">
            <v>Volume for the Month of March 2015</v>
          </cell>
          <cell r="O16" t="str">
            <v>Volume for the Three Months ended March 31, 2016</v>
          </cell>
          <cell r="P16" t="str">
            <v>Volume for the Three Months ended March 31, 2015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2016 and 2015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2016</v>
          </cell>
          <cell r="J17" t="str">
            <v>Actual customers for the Month of April 2015</v>
          </cell>
          <cell r="K17" t="str">
            <v>Average customers for the Four Months ended April 30, 2016</v>
          </cell>
          <cell r="L17" t="str">
            <v>Average customers for the Four Months ended April 30, 2015</v>
          </cell>
          <cell r="M17" t="str">
            <v>Volume for the Month of April 2016</v>
          </cell>
          <cell r="N17" t="str">
            <v>Volume for the Month of April 2015</v>
          </cell>
          <cell r="O17" t="str">
            <v>Volume for the Four Months ended April 30, 2016</v>
          </cell>
          <cell r="P17" t="str">
            <v>Volume for the Four Months ended April 30, 2015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2016 and 2015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2016</v>
          </cell>
          <cell r="J18" t="str">
            <v>Actual customers for the Month of May 2015</v>
          </cell>
          <cell r="K18" t="str">
            <v>Average customers for the Five Months ended May 31, 2016</v>
          </cell>
          <cell r="L18" t="str">
            <v>Average customers for the Five Months ended May 31, 2015</v>
          </cell>
          <cell r="M18" t="str">
            <v>Volume for the Month of May 2016</v>
          </cell>
          <cell r="N18" t="str">
            <v>Volume for the Month of May 2015</v>
          </cell>
          <cell r="O18" t="str">
            <v>Volume for the Five Months ended May 31, 2016</v>
          </cell>
          <cell r="P18" t="str">
            <v>Volume for the Five Months ended May 31, 2015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2016 and 2015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2016</v>
          </cell>
          <cell r="J19" t="str">
            <v>Actual customers for the Month of June 2015</v>
          </cell>
          <cell r="K19" t="str">
            <v>Average customers for the Six Months ended June 30, 2016</v>
          </cell>
          <cell r="L19" t="str">
            <v>Average customers for the Six Months ended June 30, 2015</v>
          </cell>
          <cell r="M19" t="str">
            <v>Volume for the Month of June 2016</v>
          </cell>
          <cell r="N19" t="str">
            <v>Volume for the Month of June 2015</v>
          </cell>
          <cell r="O19" t="str">
            <v>Volume for the Six Months ended June 30, 2016</v>
          </cell>
          <cell r="P19" t="str">
            <v>Volume for the Six Months ended June 30, 2015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2016 and 2015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2016</v>
          </cell>
          <cell r="J20" t="str">
            <v>Actual customers for the Month of July 2015</v>
          </cell>
          <cell r="K20" t="str">
            <v>Average customers for the Seven Months ended July 31, 2016</v>
          </cell>
          <cell r="L20" t="str">
            <v>Average customers for the Seven Months ended July 31, 2015</v>
          </cell>
          <cell r="M20" t="str">
            <v>Volume for the Month of July 2016</v>
          </cell>
          <cell r="N20" t="str">
            <v>Volume for the Month of July 2015</v>
          </cell>
          <cell r="O20" t="str">
            <v>Volume for the Seven Months ended July 31, 2016</v>
          </cell>
          <cell r="P20" t="str">
            <v>Volume for the Seven Months ended July 31, 2015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2016 and 2015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2016</v>
          </cell>
          <cell r="J21" t="str">
            <v>Actual customers for the Month of August 2015</v>
          </cell>
          <cell r="K21" t="str">
            <v>Average customers for the Eight Months ended August 31, 2016</v>
          </cell>
          <cell r="L21" t="str">
            <v>Average customers for the Eight Months ended August 31, 2015</v>
          </cell>
          <cell r="M21" t="str">
            <v>Volume for the Month of August 2016</v>
          </cell>
          <cell r="N21" t="str">
            <v>Volume for the Month of August 2015</v>
          </cell>
          <cell r="O21" t="str">
            <v>Volume for the Eight Months ended August 31, 2016</v>
          </cell>
          <cell r="P21" t="str">
            <v>Volume for the Eight Months ended August 31, 2015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2016 and 2015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2016</v>
          </cell>
          <cell r="J22" t="str">
            <v>Actual customers for the Month of September 2015</v>
          </cell>
          <cell r="K22" t="str">
            <v>Average customers for the Nine Months ended September 30, 2016</v>
          </cell>
          <cell r="L22" t="str">
            <v>Average customers for the Nine Months ended September 30, 2015</v>
          </cell>
          <cell r="M22" t="str">
            <v>Volume for the Month of September 2016</v>
          </cell>
          <cell r="N22" t="str">
            <v>Volume for the Month of September 2015</v>
          </cell>
          <cell r="O22" t="str">
            <v>Volume for the Nine Months ended September 30, 2016</v>
          </cell>
          <cell r="P22" t="str">
            <v>Volume for the Nine Months ended September 30, 2015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2016 and 2015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2016</v>
          </cell>
          <cell r="J23" t="str">
            <v>Actual customers for the Month of October 2015</v>
          </cell>
          <cell r="K23" t="str">
            <v>Average customers for the Ten Months ended October 31, 2016</v>
          </cell>
          <cell r="L23" t="str">
            <v>Average customers for the Ten Months ended October 31, 2015</v>
          </cell>
          <cell r="M23" t="str">
            <v>Volume for the Month of October 2016</v>
          </cell>
          <cell r="N23" t="str">
            <v>Volume for the Month of October 2015</v>
          </cell>
          <cell r="O23" t="str">
            <v>Volume for the Ten Months ended October 31, 2016</v>
          </cell>
          <cell r="P23" t="str">
            <v>Volume for the Ten Months ended October 31, 2015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2016 and 2015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2016</v>
          </cell>
          <cell r="J24" t="str">
            <v>Actual customers for the Month of November 2015</v>
          </cell>
          <cell r="K24" t="str">
            <v>Average customers for the Eleven Months ended November 30, 2016</v>
          </cell>
          <cell r="L24" t="str">
            <v>Average customers for the Eleven Months ended November 30, 2015</v>
          </cell>
          <cell r="M24" t="str">
            <v>Volume for the Month of November 2016</v>
          </cell>
          <cell r="N24" t="str">
            <v>Volume for the Month of November 2015</v>
          </cell>
          <cell r="O24" t="str">
            <v>Volume for the Eleven Months ended November 30, 2016</v>
          </cell>
          <cell r="P24" t="str">
            <v>Volume for the Eleven Months ended November 30, 2015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2016 and 2015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2016</v>
          </cell>
          <cell r="J25" t="str">
            <v>Actual customers for the Month of December 2015</v>
          </cell>
          <cell r="K25" t="str">
            <v>Average customers for the Twelve Months ended December 31, 2016</v>
          </cell>
          <cell r="L25" t="str">
            <v>Average customers for the Twelve Months ended December 31, 2015</v>
          </cell>
          <cell r="M25" t="str">
            <v>Volume for the Month of December 2016</v>
          </cell>
          <cell r="N25" t="str">
            <v>Volume for the Month of December 2015</v>
          </cell>
          <cell r="O25" t="str">
            <v>Volume for the Twelve Months ended December 31, 2016</v>
          </cell>
          <cell r="P25" t="str">
            <v>Volume for the Twelve Months ended December 31, 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45604.5</v>
          </cell>
          <cell r="E5">
            <v>44906</v>
          </cell>
          <cell r="F5">
            <v>45269</v>
          </cell>
          <cell r="G5">
            <v>45430</v>
          </cell>
          <cell r="H5">
            <v>45572</v>
          </cell>
          <cell r="I5">
            <v>45374</v>
          </cell>
          <cell r="J5">
            <v>45272</v>
          </cell>
          <cell r="K5">
            <v>45295</v>
          </cell>
          <cell r="L5">
            <v>45354</v>
          </cell>
          <cell r="M5">
            <v>45496</v>
          </cell>
          <cell r="N5">
            <v>45780</v>
          </cell>
          <cell r="O5">
            <v>46415</v>
          </cell>
          <cell r="P5">
            <v>47091</v>
          </cell>
          <cell r="T5">
            <v>2</v>
          </cell>
          <cell r="U5" t="str">
            <v>Residential</v>
          </cell>
          <cell r="V5">
            <v>43285</v>
          </cell>
          <cell r="W5">
            <v>519418</v>
          </cell>
          <cell r="X5">
            <v>43161</v>
          </cell>
          <cell r="Y5">
            <v>43342</v>
          </cell>
          <cell r="Z5">
            <v>43453</v>
          </cell>
          <cell r="AA5">
            <v>43386</v>
          </cell>
          <cell r="AB5">
            <v>43045</v>
          </cell>
          <cell r="AC5">
            <v>42691</v>
          </cell>
          <cell r="AD5">
            <v>42650</v>
          </cell>
          <cell r="AE5">
            <v>42689</v>
          </cell>
          <cell r="AF5">
            <v>42997</v>
          </cell>
          <cell r="AG5">
            <v>43349</v>
          </cell>
          <cell r="AH5">
            <v>44105</v>
          </cell>
          <cell r="AI5">
            <v>44550</v>
          </cell>
        </row>
        <row r="6">
          <cell r="A6">
            <v>3</v>
          </cell>
          <cell r="B6" t="str">
            <v>Commercial</v>
          </cell>
          <cell r="C6"/>
          <cell r="D6">
            <v>3857</v>
          </cell>
          <cell r="E6">
            <v>3870</v>
          </cell>
          <cell r="F6">
            <v>3919</v>
          </cell>
          <cell r="G6">
            <v>3905</v>
          </cell>
          <cell r="H6">
            <v>3883</v>
          </cell>
          <cell r="I6">
            <v>3836</v>
          </cell>
          <cell r="J6">
            <v>3828</v>
          </cell>
          <cell r="K6">
            <v>3818</v>
          </cell>
          <cell r="L6">
            <v>3810</v>
          </cell>
          <cell r="M6">
            <v>3794</v>
          </cell>
          <cell r="N6">
            <v>3804</v>
          </cell>
          <cell r="O6">
            <v>3872</v>
          </cell>
          <cell r="P6">
            <v>3945</v>
          </cell>
          <cell r="T6">
            <v>3</v>
          </cell>
          <cell r="U6" t="str">
            <v>Commercial</v>
          </cell>
          <cell r="V6">
            <v>3768</v>
          </cell>
          <cell r="W6">
            <v>45218</v>
          </cell>
          <cell r="X6">
            <v>3783</v>
          </cell>
          <cell r="Y6">
            <v>3824</v>
          </cell>
          <cell r="Z6">
            <v>3843</v>
          </cell>
          <cell r="AA6">
            <v>3808</v>
          </cell>
          <cell r="AB6">
            <v>3743</v>
          </cell>
          <cell r="AC6">
            <v>3721</v>
          </cell>
          <cell r="AD6">
            <v>3716</v>
          </cell>
          <cell r="AE6">
            <v>3713</v>
          </cell>
          <cell r="AF6">
            <v>3716</v>
          </cell>
          <cell r="AG6">
            <v>3721</v>
          </cell>
          <cell r="AH6">
            <v>3785</v>
          </cell>
          <cell r="AI6">
            <v>3845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80.666666666666671</v>
          </cell>
          <cell r="E7">
            <v>80</v>
          </cell>
          <cell r="F7">
            <v>80</v>
          </cell>
          <cell r="G7">
            <v>80</v>
          </cell>
          <cell r="H7">
            <v>79</v>
          </cell>
          <cell r="I7">
            <v>79</v>
          </cell>
          <cell r="J7">
            <v>78</v>
          </cell>
          <cell r="K7">
            <v>80</v>
          </cell>
          <cell r="L7">
            <v>80</v>
          </cell>
          <cell r="M7">
            <v>80</v>
          </cell>
          <cell r="N7">
            <v>81</v>
          </cell>
          <cell r="O7">
            <v>85</v>
          </cell>
          <cell r="P7">
            <v>86</v>
          </cell>
          <cell r="T7">
            <v>4</v>
          </cell>
          <cell r="U7" t="str">
            <v xml:space="preserve">Industrial </v>
          </cell>
          <cell r="V7">
            <v>77</v>
          </cell>
          <cell r="W7">
            <v>928</v>
          </cell>
          <cell r="X7">
            <v>75</v>
          </cell>
          <cell r="Y7">
            <v>75</v>
          </cell>
          <cell r="Z7">
            <v>75</v>
          </cell>
          <cell r="AA7">
            <v>75</v>
          </cell>
          <cell r="AB7">
            <v>76</v>
          </cell>
          <cell r="AC7">
            <v>76</v>
          </cell>
          <cell r="AD7">
            <v>76</v>
          </cell>
          <cell r="AE7">
            <v>78</v>
          </cell>
          <cell r="AF7">
            <v>80</v>
          </cell>
          <cell r="AG7">
            <v>80</v>
          </cell>
          <cell r="AH7">
            <v>82</v>
          </cell>
          <cell r="AI7">
            <v>80</v>
          </cell>
        </row>
        <row r="8">
          <cell r="A8">
            <v>5</v>
          </cell>
          <cell r="B8" t="str">
            <v>Other</v>
          </cell>
          <cell r="C8"/>
          <cell r="D8">
            <v>4.916666666666667</v>
          </cell>
          <cell r="E8">
            <v>3</v>
          </cell>
          <cell r="F8">
            <v>3</v>
          </cell>
          <cell r="G8">
            <v>6</v>
          </cell>
          <cell r="H8">
            <v>4</v>
          </cell>
          <cell r="I8">
            <v>5</v>
          </cell>
          <cell r="J8">
            <v>4</v>
          </cell>
          <cell r="K8">
            <v>5</v>
          </cell>
          <cell r="L8">
            <v>5</v>
          </cell>
          <cell r="M8">
            <v>7</v>
          </cell>
          <cell r="N8">
            <v>8</v>
          </cell>
          <cell r="O8">
            <v>4</v>
          </cell>
          <cell r="P8">
            <v>5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59</v>
          </cell>
          <cell r="X8">
            <v>7</v>
          </cell>
          <cell r="Y8">
            <v>6</v>
          </cell>
          <cell r="Z8">
            <v>6</v>
          </cell>
          <cell r="AA8">
            <v>5</v>
          </cell>
          <cell r="AB8">
            <v>6</v>
          </cell>
          <cell r="AC8">
            <v>6</v>
          </cell>
          <cell r="AD8">
            <v>5</v>
          </cell>
          <cell r="AE8">
            <v>3</v>
          </cell>
          <cell r="AF8">
            <v>4</v>
          </cell>
          <cell r="AG8">
            <v>3</v>
          </cell>
          <cell r="AH8">
            <v>4</v>
          </cell>
          <cell r="AI8">
            <v>4</v>
          </cell>
        </row>
        <row r="9">
          <cell r="A9">
            <v>6</v>
          </cell>
          <cell r="B9" t="str">
            <v>Total customers</v>
          </cell>
          <cell r="C9"/>
          <cell r="D9">
            <v>49547.083333333328</v>
          </cell>
          <cell r="E9">
            <v>48859</v>
          </cell>
          <cell r="F9">
            <v>49271</v>
          </cell>
          <cell r="G9">
            <v>49421</v>
          </cell>
          <cell r="H9">
            <v>49538</v>
          </cell>
          <cell r="I9">
            <v>49294</v>
          </cell>
          <cell r="J9">
            <v>49182</v>
          </cell>
          <cell r="K9">
            <v>49198</v>
          </cell>
          <cell r="L9">
            <v>49249</v>
          </cell>
          <cell r="M9">
            <v>49377</v>
          </cell>
          <cell r="N9">
            <v>49673</v>
          </cell>
          <cell r="O9">
            <v>50376</v>
          </cell>
          <cell r="P9">
            <v>51127</v>
          </cell>
          <cell r="T9">
            <v>6</v>
          </cell>
          <cell r="U9" t="str">
            <v>Total customers</v>
          </cell>
          <cell r="V9">
            <v>47135</v>
          </cell>
          <cell r="W9">
            <v>565623</v>
          </cell>
          <cell r="X9">
            <v>47026</v>
          </cell>
          <cell r="Y9">
            <v>47247</v>
          </cell>
          <cell r="Z9">
            <v>47377</v>
          </cell>
          <cell r="AA9">
            <v>47274</v>
          </cell>
          <cell r="AB9">
            <v>46870</v>
          </cell>
          <cell r="AC9">
            <v>46494</v>
          </cell>
          <cell r="AD9">
            <v>46447</v>
          </cell>
          <cell r="AE9">
            <v>46483</v>
          </cell>
          <cell r="AF9">
            <v>46797</v>
          </cell>
          <cell r="AG9">
            <v>47153</v>
          </cell>
          <cell r="AH9">
            <v>47976</v>
          </cell>
          <cell r="AI9">
            <v>48479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2358386</v>
          </cell>
          <cell r="E12">
            <v>366424</v>
          </cell>
          <cell r="F12">
            <v>514106</v>
          </cell>
          <cell r="G12">
            <v>367283</v>
          </cell>
          <cell r="H12">
            <v>242332</v>
          </cell>
          <cell r="I12">
            <v>138295</v>
          </cell>
          <cell r="J12">
            <v>66566</v>
          </cell>
          <cell r="K12">
            <v>44868</v>
          </cell>
          <cell r="L12">
            <v>37570</v>
          </cell>
          <cell r="M12">
            <v>42463</v>
          </cell>
          <cell r="N12">
            <v>50956</v>
          </cell>
          <cell r="O12">
            <v>139571</v>
          </cell>
          <cell r="P12">
            <v>347952</v>
          </cell>
          <cell r="T12">
            <v>9</v>
          </cell>
          <cell r="U12" t="str">
            <v>Residential</v>
          </cell>
          <cell r="W12">
            <v>2689939</v>
          </cell>
          <cell r="X12">
            <v>509525</v>
          </cell>
          <cell r="Y12">
            <v>609347</v>
          </cell>
          <cell r="Z12">
            <v>562513</v>
          </cell>
          <cell r="AA12">
            <v>280456</v>
          </cell>
          <cell r="AB12">
            <v>105415</v>
          </cell>
          <cell r="AC12">
            <v>49492</v>
          </cell>
          <cell r="AD12">
            <v>43773</v>
          </cell>
          <cell r="AE12">
            <v>40290</v>
          </cell>
          <cell r="AF12">
            <v>39466</v>
          </cell>
          <cell r="AG12">
            <v>71236</v>
          </cell>
          <cell r="AH12">
            <v>132251</v>
          </cell>
          <cell r="AI12">
            <v>246175</v>
          </cell>
        </row>
        <row r="13">
          <cell r="A13">
            <v>10</v>
          </cell>
          <cell r="B13" t="str">
            <v>Commercial</v>
          </cell>
          <cell r="D13">
            <v>2004885</v>
          </cell>
          <cell r="E13">
            <v>299165</v>
          </cell>
          <cell r="F13">
            <v>333452</v>
          </cell>
          <cell r="G13">
            <v>248328</v>
          </cell>
          <cell r="H13">
            <v>167140</v>
          </cell>
          <cell r="I13">
            <v>117328</v>
          </cell>
          <cell r="J13">
            <v>89614</v>
          </cell>
          <cell r="K13">
            <v>72369</v>
          </cell>
          <cell r="L13">
            <v>72918</v>
          </cell>
          <cell r="M13">
            <v>79628</v>
          </cell>
          <cell r="N13">
            <v>96934</v>
          </cell>
          <cell r="O13">
            <v>143986</v>
          </cell>
          <cell r="P13">
            <v>284023</v>
          </cell>
          <cell r="T13">
            <v>10</v>
          </cell>
          <cell r="U13" t="str">
            <v>Commercial</v>
          </cell>
          <cell r="W13">
            <v>2176818</v>
          </cell>
          <cell r="X13">
            <v>357360</v>
          </cell>
          <cell r="Y13">
            <v>420991</v>
          </cell>
          <cell r="Z13">
            <v>366653</v>
          </cell>
          <cell r="AA13">
            <v>201717</v>
          </cell>
          <cell r="AB13">
            <v>96219</v>
          </cell>
          <cell r="AC13">
            <v>75936</v>
          </cell>
          <cell r="AD13">
            <v>75151</v>
          </cell>
          <cell r="AE13">
            <v>68957</v>
          </cell>
          <cell r="AF13">
            <v>72299</v>
          </cell>
          <cell r="AG13">
            <v>108548</v>
          </cell>
          <cell r="AH13">
            <v>131520</v>
          </cell>
          <cell r="AI13">
            <v>201467</v>
          </cell>
        </row>
        <row r="14">
          <cell r="A14">
            <v>11</v>
          </cell>
          <cell r="B14" t="str">
            <v xml:space="preserve">Industrial </v>
          </cell>
          <cell r="D14">
            <v>3036274</v>
          </cell>
          <cell r="E14">
            <v>282310</v>
          </cell>
          <cell r="F14">
            <v>285180</v>
          </cell>
          <cell r="G14">
            <v>290010</v>
          </cell>
          <cell r="H14">
            <v>242188</v>
          </cell>
          <cell r="I14">
            <v>233434</v>
          </cell>
          <cell r="J14">
            <v>234367</v>
          </cell>
          <cell r="K14">
            <v>199754</v>
          </cell>
          <cell r="L14">
            <v>219518</v>
          </cell>
          <cell r="M14">
            <v>250465</v>
          </cell>
          <cell r="N14">
            <v>267829</v>
          </cell>
          <cell r="O14">
            <v>237748</v>
          </cell>
          <cell r="P14">
            <v>293471</v>
          </cell>
          <cell r="T14">
            <v>11</v>
          </cell>
          <cell r="U14" t="str">
            <v xml:space="preserve">Industrial </v>
          </cell>
          <cell r="W14">
            <v>2853266</v>
          </cell>
          <cell r="X14">
            <v>267966</v>
          </cell>
          <cell r="Y14">
            <v>264042</v>
          </cell>
          <cell r="Z14">
            <v>275156</v>
          </cell>
          <cell r="AA14">
            <v>242770</v>
          </cell>
          <cell r="AB14">
            <v>203506</v>
          </cell>
          <cell r="AC14">
            <v>200999</v>
          </cell>
          <cell r="AD14">
            <v>208039</v>
          </cell>
          <cell r="AE14">
            <v>189039</v>
          </cell>
          <cell r="AF14">
            <v>244437</v>
          </cell>
          <cell r="AG14">
            <v>254497</v>
          </cell>
          <cell r="AH14">
            <v>222524</v>
          </cell>
          <cell r="AI14">
            <v>280291</v>
          </cell>
        </row>
        <row r="15">
          <cell r="A15">
            <v>12</v>
          </cell>
          <cell r="B15" t="str">
            <v>Other</v>
          </cell>
          <cell r="D15">
            <v>88045</v>
          </cell>
          <cell r="E15">
            <v>3618</v>
          </cell>
          <cell r="F15">
            <v>3637</v>
          </cell>
          <cell r="G15">
            <v>5526</v>
          </cell>
          <cell r="H15">
            <v>6261</v>
          </cell>
          <cell r="I15">
            <v>8806</v>
          </cell>
          <cell r="J15">
            <v>10183</v>
          </cell>
          <cell r="K15">
            <v>9695</v>
          </cell>
          <cell r="L15">
            <v>10655</v>
          </cell>
          <cell r="M15">
            <v>6372</v>
          </cell>
          <cell r="N15">
            <v>9271</v>
          </cell>
          <cell r="O15">
            <v>7865</v>
          </cell>
          <cell r="P15">
            <v>6156</v>
          </cell>
          <cell r="T15">
            <v>12</v>
          </cell>
          <cell r="U15" t="str">
            <v xml:space="preserve">Interruptible </v>
          </cell>
          <cell r="W15">
            <v>78085</v>
          </cell>
          <cell r="X15">
            <v>3035</v>
          </cell>
          <cell r="Y15">
            <v>2816</v>
          </cell>
          <cell r="Z15">
            <v>3877</v>
          </cell>
          <cell r="AA15">
            <v>4625</v>
          </cell>
          <cell r="AB15">
            <v>3611</v>
          </cell>
          <cell r="AC15">
            <v>8837</v>
          </cell>
          <cell r="AD15">
            <v>7561</v>
          </cell>
          <cell r="AE15">
            <v>11273</v>
          </cell>
          <cell r="AF15">
            <v>8189</v>
          </cell>
          <cell r="AG15">
            <v>11518</v>
          </cell>
          <cell r="AH15">
            <v>6780</v>
          </cell>
          <cell r="AI15">
            <v>5963</v>
          </cell>
        </row>
        <row r="16">
          <cell r="A16">
            <v>13</v>
          </cell>
          <cell r="B16" t="str">
            <v>Total Volume</v>
          </cell>
          <cell r="D16">
            <v>7487590</v>
          </cell>
          <cell r="E16">
            <v>951517</v>
          </cell>
          <cell r="F16">
            <v>1136375</v>
          </cell>
          <cell r="G16">
            <v>911147</v>
          </cell>
          <cell r="H16">
            <v>657921</v>
          </cell>
          <cell r="I16">
            <v>497863</v>
          </cell>
          <cell r="J16">
            <v>400730</v>
          </cell>
          <cell r="K16">
            <v>326686</v>
          </cell>
          <cell r="L16">
            <v>340661</v>
          </cell>
          <cell r="M16">
            <v>378928</v>
          </cell>
          <cell r="N16">
            <v>424990</v>
          </cell>
          <cell r="O16">
            <v>529170</v>
          </cell>
          <cell r="P16">
            <v>931602</v>
          </cell>
          <cell r="T16">
            <v>13</v>
          </cell>
          <cell r="U16" t="str">
            <v>Total Deliveries</v>
          </cell>
          <cell r="V16"/>
          <cell r="W16">
            <v>7798108</v>
          </cell>
          <cell r="X16">
            <v>1137886</v>
          </cell>
          <cell r="Y16">
            <v>1297196</v>
          </cell>
          <cell r="Z16">
            <v>1208199</v>
          </cell>
          <cell r="AA16">
            <v>729568</v>
          </cell>
          <cell r="AB16">
            <v>408751</v>
          </cell>
          <cell r="AC16">
            <v>335264</v>
          </cell>
          <cell r="AD16">
            <v>334524</v>
          </cell>
          <cell r="AE16">
            <v>309559</v>
          </cell>
          <cell r="AF16">
            <v>364391</v>
          </cell>
          <cell r="AG16">
            <v>445799</v>
          </cell>
          <cell r="AH16">
            <v>493075</v>
          </cell>
          <cell r="AI16">
            <v>733896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2488792</v>
          </cell>
          <cell r="E21">
            <v>388267</v>
          </cell>
          <cell r="F21">
            <v>543523</v>
          </cell>
          <cell r="G21">
            <v>387131</v>
          </cell>
          <cell r="H21">
            <v>255888</v>
          </cell>
          <cell r="I21">
            <v>145380</v>
          </cell>
          <cell r="J21">
            <v>70033</v>
          </cell>
          <cell r="K21">
            <v>47410</v>
          </cell>
          <cell r="L21">
            <v>39659</v>
          </cell>
          <cell r="M21">
            <v>44765</v>
          </cell>
          <cell r="N21">
            <v>53638</v>
          </cell>
          <cell r="O21">
            <v>146865</v>
          </cell>
          <cell r="P21">
            <v>366233</v>
          </cell>
          <cell r="T21">
            <v>18</v>
          </cell>
          <cell r="U21" t="str">
            <v>Residential</v>
          </cell>
          <cell r="W21">
            <v>2854245</v>
          </cell>
          <cell r="X21">
            <v>541039</v>
          </cell>
          <cell r="Y21">
            <v>648595</v>
          </cell>
          <cell r="Z21">
            <v>598272</v>
          </cell>
          <cell r="AA21">
            <v>296846</v>
          </cell>
          <cell r="AB21">
            <v>111622</v>
          </cell>
          <cell r="AC21">
            <v>52611</v>
          </cell>
          <cell r="AD21">
            <v>46328</v>
          </cell>
          <cell r="AE21">
            <v>42568</v>
          </cell>
          <cell r="AF21">
            <v>41639</v>
          </cell>
          <cell r="AG21">
            <v>75477</v>
          </cell>
          <cell r="AH21">
            <v>139464</v>
          </cell>
          <cell r="AI21">
            <v>259784</v>
          </cell>
        </row>
        <row r="22">
          <cell r="A22">
            <v>19</v>
          </cell>
          <cell r="B22" t="str">
            <v>Commercial</v>
          </cell>
          <cell r="D22">
            <v>2115267</v>
          </cell>
          <cell r="E22">
            <v>316998</v>
          </cell>
          <cell r="F22">
            <v>352532</v>
          </cell>
          <cell r="G22">
            <v>261748</v>
          </cell>
          <cell r="H22">
            <v>176490</v>
          </cell>
          <cell r="I22">
            <v>123339</v>
          </cell>
          <cell r="J22">
            <v>94281</v>
          </cell>
          <cell r="K22">
            <v>76469</v>
          </cell>
          <cell r="L22">
            <v>76972</v>
          </cell>
          <cell r="M22">
            <v>83945</v>
          </cell>
          <cell r="N22">
            <v>102036</v>
          </cell>
          <cell r="O22">
            <v>151511</v>
          </cell>
          <cell r="P22">
            <v>298946</v>
          </cell>
          <cell r="T22">
            <v>19</v>
          </cell>
          <cell r="U22" t="str">
            <v>Commercial</v>
          </cell>
          <cell r="W22">
            <v>2308624</v>
          </cell>
          <cell r="X22">
            <v>379463</v>
          </cell>
          <cell r="Y22">
            <v>448107</v>
          </cell>
          <cell r="Z22">
            <v>389961</v>
          </cell>
          <cell r="AA22">
            <v>213505</v>
          </cell>
          <cell r="AB22">
            <v>101884</v>
          </cell>
          <cell r="AC22">
            <v>80722</v>
          </cell>
          <cell r="AD22">
            <v>79537</v>
          </cell>
          <cell r="AE22">
            <v>72857</v>
          </cell>
          <cell r="AF22">
            <v>76281</v>
          </cell>
          <cell r="AG22">
            <v>115010</v>
          </cell>
          <cell r="AH22">
            <v>138693</v>
          </cell>
          <cell r="AI22">
            <v>212604</v>
          </cell>
        </row>
        <row r="23">
          <cell r="A23">
            <v>20</v>
          </cell>
          <cell r="B23" t="str">
            <v xml:space="preserve">Industrial </v>
          </cell>
          <cell r="D23">
            <v>3201844</v>
          </cell>
          <cell r="E23">
            <v>299138</v>
          </cell>
          <cell r="F23">
            <v>301498</v>
          </cell>
          <cell r="G23">
            <v>305682</v>
          </cell>
          <cell r="H23">
            <v>255736</v>
          </cell>
          <cell r="I23">
            <v>245393</v>
          </cell>
          <cell r="J23">
            <v>246573</v>
          </cell>
          <cell r="K23">
            <v>211070</v>
          </cell>
          <cell r="L23">
            <v>231721</v>
          </cell>
          <cell r="M23">
            <v>264045</v>
          </cell>
          <cell r="N23">
            <v>281925</v>
          </cell>
          <cell r="O23">
            <v>250173</v>
          </cell>
          <cell r="P23">
            <v>308890</v>
          </cell>
          <cell r="T23">
            <v>20</v>
          </cell>
          <cell r="U23" t="str">
            <v xml:space="preserve">Industrial </v>
          </cell>
          <cell r="W23">
            <v>3022249</v>
          </cell>
          <cell r="X23">
            <v>284540</v>
          </cell>
          <cell r="Y23">
            <v>281049</v>
          </cell>
          <cell r="Z23">
            <v>292648</v>
          </cell>
          <cell r="AA23">
            <v>256957</v>
          </cell>
          <cell r="AB23">
            <v>215488</v>
          </cell>
          <cell r="AC23">
            <v>213668</v>
          </cell>
          <cell r="AD23">
            <v>220180</v>
          </cell>
          <cell r="AE23">
            <v>199729</v>
          </cell>
          <cell r="AF23">
            <v>257898</v>
          </cell>
          <cell r="AG23">
            <v>269647</v>
          </cell>
          <cell r="AH23">
            <v>234660</v>
          </cell>
          <cell r="AI23">
            <v>295785</v>
          </cell>
        </row>
        <row r="24">
          <cell r="A24">
            <v>21</v>
          </cell>
          <cell r="B24" t="str">
            <v>Other</v>
          </cell>
          <cell r="D24">
            <v>92807</v>
          </cell>
          <cell r="E24">
            <v>3834</v>
          </cell>
          <cell r="F24">
            <v>3845</v>
          </cell>
          <cell r="G24">
            <v>5825</v>
          </cell>
          <cell r="H24">
            <v>6611</v>
          </cell>
          <cell r="I24">
            <v>9257</v>
          </cell>
          <cell r="J24">
            <v>10713</v>
          </cell>
          <cell r="K24">
            <v>10244</v>
          </cell>
          <cell r="L24">
            <v>11247</v>
          </cell>
          <cell r="M24">
            <v>6717</v>
          </cell>
          <cell r="N24">
            <v>9759</v>
          </cell>
          <cell r="O24">
            <v>8276</v>
          </cell>
          <cell r="P24">
            <v>6479</v>
          </cell>
          <cell r="T24">
            <v>21</v>
          </cell>
          <cell r="U24" t="str">
            <v xml:space="preserve">Interruptible </v>
          </cell>
          <cell r="W24">
            <v>82655</v>
          </cell>
          <cell r="X24">
            <v>3223</v>
          </cell>
          <cell r="Y24">
            <v>2997</v>
          </cell>
          <cell r="Z24">
            <v>4123</v>
          </cell>
          <cell r="AA24">
            <v>4895</v>
          </cell>
          <cell r="AB24">
            <v>3824</v>
          </cell>
          <cell r="AC24">
            <v>9394</v>
          </cell>
          <cell r="AD24">
            <v>8002</v>
          </cell>
          <cell r="AE24">
            <v>11910</v>
          </cell>
          <cell r="AF24">
            <v>8640</v>
          </cell>
          <cell r="AG24">
            <v>12204</v>
          </cell>
          <cell r="AH24">
            <v>7150</v>
          </cell>
          <cell r="AI24">
            <v>6293</v>
          </cell>
        </row>
        <row r="25">
          <cell r="A25">
            <v>22</v>
          </cell>
          <cell r="B25" t="str">
            <v>Total Volume</v>
          </cell>
          <cell r="C25"/>
          <cell r="D25">
            <v>7898710</v>
          </cell>
          <cell r="E25">
            <v>1008237</v>
          </cell>
          <cell r="F25">
            <v>1201398</v>
          </cell>
          <cell r="G25">
            <v>960386</v>
          </cell>
          <cell r="H25">
            <v>694725</v>
          </cell>
          <cell r="I25">
            <v>523369</v>
          </cell>
          <cell r="J25">
            <v>421600</v>
          </cell>
          <cell r="K25">
            <v>345193</v>
          </cell>
          <cell r="L25">
            <v>359599</v>
          </cell>
          <cell r="M25">
            <v>399472</v>
          </cell>
          <cell r="N25">
            <v>447358</v>
          </cell>
          <cell r="O25">
            <v>556825</v>
          </cell>
          <cell r="P25">
            <v>980548</v>
          </cell>
          <cell r="T25">
            <v>22</v>
          </cell>
          <cell r="U25" t="str">
            <v>Total Deliveries</v>
          </cell>
          <cell r="V25"/>
          <cell r="W25">
            <v>8267773</v>
          </cell>
          <cell r="X25">
            <v>1208265</v>
          </cell>
          <cell r="Y25">
            <v>1380748</v>
          </cell>
          <cell r="Z25">
            <v>1285004</v>
          </cell>
          <cell r="AA25">
            <v>772203</v>
          </cell>
          <cell r="AB25">
            <v>432818</v>
          </cell>
          <cell r="AC25">
            <v>356395</v>
          </cell>
          <cell r="AD25">
            <v>354047</v>
          </cell>
          <cell r="AE25">
            <v>327064</v>
          </cell>
          <cell r="AF25">
            <v>384458</v>
          </cell>
          <cell r="AG25">
            <v>472338</v>
          </cell>
          <cell r="AH25">
            <v>519967</v>
          </cell>
          <cell r="AI25">
            <v>774466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47706</v>
          </cell>
          <cell r="F28">
            <v>47833</v>
          </cell>
          <cell r="G28">
            <v>47828</v>
          </cell>
          <cell r="H28">
            <v>47760</v>
          </cell>
          <cell r="I28">
            <v>47827</v>
          </cell>
          <cell r="J28">
            <v>47875</v>
          </cell>
          <cell r="K28">
            <v>48240</v>
          </cell>
          <cell r="L28">
            <v>48150</v>
          </cell>
          <cell r="M28">
            <v>48253</v>
          </cell>
          <cell r="N28">
            <v>48415</v>
          </cell>
          <cell r="O28">
            <v>48828</v>
          </cell>
          <cell r="P28">
            <v>49251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1116645</v>
          </cell>
          <cell r="F29">
            <v>1220833</v>
          </cell>
          <cell r="G29">
            <v>1026204</v>
          </cell>
          <cell r="H29">
            <v>710111</v>
          </cell>
          <cell r="I29">
            <v>436053</v>
          </cell>
          <cell r="J29">
            <v>349956</v>
          </cell>
          <cell r="K29">
            <v>315364</v>
          </cell>
          <cell r="L29">
            <v>305744</v>
          </cell>
          <cell r="M29">
            <v>355227</v>
          </cell>
          <cell r="N29">
            <v>457578</v>
          </cell>
          <cell r="O29">
            <v>602959</v>
          </cell>
          <cell r="P29">
            <v>955627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1155727.575</v>
          </cell>
          <cell r="F30">
            <v>1263562.1549999998</v>
          </cell>
          <cell r="G30">
            <v>1062121.1399999999</v>
          </cell>
          <cell r="H30">
            <v>734964.88499999989</v>
          </cell>
          <cell r="I30">
            <v>451314.85499999998</v>
          </cell>
          <cell r="J30">
            <v>362204.45999999996</v>
          </cell>
          <cell r="K30">
            <v>326401.74</v>
          </cell>
          <cell r="L30">
            <v>316445.03999999998</v>
          </cell>
          <cell r="M30">
            <v>367659.94499999995</v>
          </cell>
          <cell r="N30">
            <v>473593.23</v>
          </cell>
          <cell r="O30">
            <v>624062.56499999994</v>
          </cell>
          <cell r="P30">
            <v>989073.94499999995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44906</v>
          </cell>
          <cell r="F34">
            <v>45088</v>
          </cell>
          <cell r="G34">
            <v>45202</v>
          </cell>
          <cell r="H34">
            <v>45294</v>
          </cell>
          <cell r="I34">
            <v>45310</v>
          </cell>
          <cell r="J34">
            <v>45304</v>
          </cell>
          <cell r="K34">
            <v>45303</v>
          </cell>
          <cell r="L34">
            <v>45309</v>
          </cell>
          <cell r="M34">
            <v>45330</v>
          </cell>
          <cell r="N34">
            <v>45375</v>
          </cell>
          <cell r="O34">
            <v>45469</v>
          </cell>
          <cell r="P34">
            <v>45605</v>
          </cell>
          <cell r="T34">
            <v>31</v>
          </cell>
          <cell r="U34" t="str">
            <v>Residential</v>
          </cell>
          <cell r="V34"/>
          <cell r="W34"/>
          <cell r="X34">
            <v>43161</v>
          </cell>
          <cell r="Y34">
            <v>43252</v>
          </cell>
          <cell r="Z34">
            <v>43319</v>
          </cell>
          <cell r="AA34">
            <v>43336</v>
          </cell>
          <cell r="AB34">
            <v>43277</v>
          </cell>
          <cell r="AC34">
            <v>43180</v>
          </cell>
          <cell r="AD34">
            <v>43104</v>
          </cell>
          <cell r="AE34">
            <v>43052</v>
          </cell>
          <cell r="AF34">
            <v>43046</v>
          </cell>
          <cell r="AG34">
            <v>43076</v>
          </cell>
          <cell r="AH34">
            <v>43170</v>
          </cell>
          <cell r="AI34">
            <v>43285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3870</v>
          </cell>
          <cell r="F35">
            <v>3895</v>
          </cell>
          <cell r="G35">
            <v>3898</v>
          </cell>
          <cell r="H35">
            <v>3894</v>
          </cell>
          <cell r="I35">
            <v>3883</v>
          </cell>
          <cell r="J35">
            <v>3874</v>
          </cell>
          <cell r="K35">
            <v>3866</v>
          </cell>
          <cell r="L35">
            <v>3859</v>
          </cell>
          <cell r="M35">
            <v>3851</v>
          </cell>
          <cell r="N35">
            <v>3847</v>
          </cell>
          <cell r="O35">
            <v>3849</v>
          </cell>
          <cell r="P35">
            <v>3857</v>
          </cell>
          <cell r="T35">
            <v>32</v>
          </cell>
          <cell r="U35" t="str">
            <v>Commercial</v>
          </cell>
          <cell r="V35"/>
          <cell r="W35"/>
          <cell r="X35">
            <v>3783</v>
          </cell>
          <cell r="Y35">
            <v>3804</v>
          </cell>
          <cell r="Z35">
            <v>3817</v>
          </cell>
          <cell r="AA35">
            <v>3815</v>
          </cell>
          <cell r="AB35">
            <v>3800</v>
          </cell>
          <cell r="AC35">
            <v>3787</v>
          </cell>
          <cell r="AD35">
            <v>3777</v>
          </cell>
          <cell r="AE35">
            <v>3769</v>
          </cell>
          <cell r="AF35">
            <v>3763</v>
          </cell>
          <cell r="AG35">
            <v>3759</v>
          </cell>
          <cell r="AH35">
            <v>3761</v>
          </cell>
          <cell r="AI35">
            <v>3768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80</v>
          </cell>
          <cell r="F36">
            <v>80</v>
          </cell>
          <cell r="G36">
            <v>80</v>
          </cell>
          <cell r="H36">
            <v>80</v>
          </cell>
          <cell r="I36">
            <v>80</v>
          </cell>
          <cell r="J36">
            <v>79</v>
          </cell>
          <cell r="K36">
            <v>79</v>
          </cell>
          <cell r="L36">
            <v>80</v>
          </cell>
          <cell r="M36">
            <v>80</v>
          </cell>
          <cell r="N36">
            <v>80</v>
          </cell>
          <cell r="O36">
            <v>80</v>
          </cell>
          <cell r="P36">
            <v>81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75</v>
          </cell>
          <cell r="Y36">
            <v>75</v>
          </cell>
          <cell r="Z36">
            <v>75</v>
          </cell>
          <cell r="AA36">
            <v>75</v>
          </cell>
          <cell r="AB36">
            <v>75</v>
          </cell>
          <cell r="AC36">
            <v>75</v>
          </cell>
          <cell r="AD36">
            <v>75</v>
          </cell>
          <cell r="AE36">
            <v>76</v>
          </cell>
          <cell r="AF36">
            <v>76</v>
          </cell>
          <cell r="AG36">
            <v>77</v>
          </cell>
          <cell r="AH36">
            <v>77</v>
          </cell>
          <cell r="AI36">
            <v>77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3</v>
          </cell>
          <cell r="F37">
            <v>3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V37"/>
          <cell r="W37"/>
          <cell r="X37">
            <v>7</v>
          </cell>
          <cell r="Y37">
            <v>7</v>
          </cell>
          <cell r="Z37">
            <v>6</v>
          </cell>
          <cell r="AA37">
            <v>6</v>
          </cell>
          <cell r="AB37">
            <v>6</v>
          </cell>
          <cell r="AC37">
            <v>6</v>
          </cell>
          <cell r="AD37">
            <v>6</v>
          </cell>
          <cell r="AE37">
            <v>6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48859</v>
          </cell>
          <cell r="F38">
            <v>49066</v>
          </cell>
          <cell r="G38">
            <v>49184</v>
          </cell>
          <cell r="H38">
            <v>49272</v>
          </cell>
          <cell r="I38">
            <v>49277</v>
          </cell>
          <cell r="J38">
            <v>49261</v>
          </cell>
          <cell r="K38">
            <v>49252</v>
          </cell>
          <cell r="L38">
            <v>49252</v>
          </cell>
          <cell r="M38">
            <v>49266</v>
          </cell>
          <cell r="N38">
            <v>49307</v>
          </cell>
          <cell r="O38">
            <v>49403</v>
          </cell>
          <cell r="P38">
            <v>49548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47026</v>
          </cell>
          <cell r="Y38">
            <v>47138</v>
          </cell>
          <cell r="Z38">
            <v>47217</v>
          </cell>
          <cell r="AA38">
            <v>47232</v>
          </cell>
          <cell r="AB38">
            <v>47158</v>
          </cell>
          <cell r="AC38">
            <v>47048</v>
          </cell>
          <cell r="AD38">
            <v>46962</v>
          </cell>
          <cell r="AE38">
            <v>46903</v>
          </cell>
          <cell r="AF38">
            <v>46890</v>
          </cell>
          <cell r="AG38">
            <v>46917</v>
          </cell>
          <cell r="AH38">
            <v>47013</v>
          </cell>
          <cell r="AI38">
            <v>47135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366424</v>
          </cell>
          <cell r="F41">
            <v>880530</v>
          </cell>
          <cell r="G41">
            <v>1247813</v>
          </cell>
          <cell r="H41">
            <v>1490145</v>
          </cell>
          <cell r="I41">
            <v>1628440</v>
          </cell>
          <cell r="J41">
            <v>1695006</v>
          </cell>
          <cell r="K41">
            <v>1739874</v>
          </cell>
          <cell r="L41">
            <v>1777444</v>
          </cell>
          <cell r="M41">
            <v>1819907</v>
          </cell>
          <cell r="N41">
            <v>1870863</v>
          </cell>
          <cell r="O41">
            <v>2010434</v>
          </cell>
          <cell r="P41">
            <v>2358386</v>
          </cell>
          <cell r="T41">
            <v>38</v>
          </cell>
          <cell r="U41" t="str">
            <v>Residential</v>
          </cell>
          <cell r="W41"/>
          <cell r="X41">
            <v>509525</v>
          </cell>
          <cell r="Y41">
            <v>1118872</v>
          </cell>
          <cell r="Z41">
            <v>1681385</v>
          </cell>
          <cell r="AA41">
            <v>1961841</v>
          </cell>
          <cell r="AB41">
            <v>2067256</v>
          </cell>
          <cell r="AC41">
            <v>2116748</v>
          </cell>
          <cell r="AD41">
            <v>2160521</v>
          </cell>
          <cell r="AE41">
            <v>2200811</v>
          </cell>
          <cell r="AF41">
            <v>2240277</v>
          </cell>
          <cell r="AG41">
            <v>2311513</v>
          </cell>
          <cell r="AH41">
            <v>2443764</v>
          </cell>
          <cell r="AI41">
            <v>2689939</v>
          </cell>
        </row>
        <row r="42">
          <cell r="A42">
            <v>39</v>
          </cell>
          <cell r="B42" t="str">
            <v>Commercial</v>
          </cell>
          <cell r="D42"/>
          <cell r="E42">
            <v>299165</v>
          </cell>
          <cell r="F42">
            <v>632617</v>
          </cell>
          <cell r="G42">
            <v>880945</v>
          </cell>
          <cell r="H42">
            <v>1048085</v>
          </cell>
          <cell r="I42">
            <v>1165413</v>
          </cell>
          <cell r="J42">
            <v>1255027</v>
          </cell>
          <cell r="K42">
            <v>1327396</v>
          </cell>
          <cell r="L42">
            <v>1400314</v>
          </cell>
          <cell r="M42">
            <v>1479942</v>
          </cell>
          <cell r="N42">
            <v>1576876</v>
          </cell>
          <cell r="O42">
            <v>1720862</v>
          </cell>
          <cell r="P42">
            <v>2004885</v>
          </cell>
          <cell r="T42">
            <v>39</v>
          </cell>
          <cell r="U42" t="str">
            <v>Commercial</v>
          </cell>
          <cell r="W42"/>
          <cell r="X42">
            <v>357360</v>
          </cell>
          <cell r="Y42">
            <v>778351</v>
          </cell>
          <cell r="Z42">
            <v>1145004</v>
          </cell>
          <cell r="AA42">
            <v>1346721</v>
          </cell>
          <cell r="AB42">
            <v>1442940</v>
          </cell>
          <cell r="AC42">
            <v>1518876</v>
          </cell>
          <cell r="AD42">
            <v>1594027</v>
          </cell>
          <cell r="AE42">
            <v>1662984</v>
          </cell>
          <cell r="AF42">
            <v>1735283</v>
          </cell>
          <cell r="AG42">
            <v>1843831</v>
          </cell>
          <cell r="AH42">
            <v>1975351</v>
          </cell>
          <cell r="AI42">
            <v>2176818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282310</v>
          </cell>
          <cell r="F43">
            <v>567490</v>
          </cell>
          <cell r="G43">
            <v>857500</v>
          </cell>
          <cell r="H43">
            <v>1099688</v>
          </cell>
          <cell r="I43">
            <v>1333122</v>
          </cell>
          <cell r="J43">
            <v>1567489</v>
          </cell>
          <cell r="K43">
            <v>1767243</v>
          </cell>
          <cell r="L43">
            <v>1986761</v>
          </cell>
          <cell r="M43">
            <v>2237226</v>
          </cell>
          <cell r="N43">
            <v>2505055</v>
          </cell>
          <cell r="O43">
            <v>2742803</v>
          </cell>
          <cell r="P43">
            <v>3036274</v>
          </cell>
          <cell r="T43">
            <v>40</v>
          </cell>
          <cell r="U43" t="str">
            <v xml:space="preserve">Industrial </v>
          </cell>
          <cell r="W43"/>
          <cell r="X43">
            <v>267966</v>
          </cell>
          <cell r="Y43">
            <v>532008</v>
          </cell>
          <cell r="Z43">
            <v>807164</v>
          </cell>
          <cell r="AA43">
            <v>1049934</v>
          </cell>
          <cell r="AB43">
            <v>1253440</v>
          </cell>
          <cell r="AC43">
            <v>1454439</v>
          </cell>
          <cell r="AD43">
            <v>1662478</v>
          </cell>
          <cell r="AE43">
            <v>1851517</v>
          </cell>
          <cell r="AF43">
            <v>2095954</v>
          </cell>
          <cell r="AG43">
            <v>2350451</v>
          </cell>
          <cell r="AH43">
            <v>2572975</v>
          </cell>
          <cell r="AI43">
            <v>2853266</v>
          </cell>
        </row>
        <row r="44">
          <cell r="A44">
            <v>41</v>
          </cell>
          <cell r="B44" t="str">
            <v>Other</v>
          </cell>
          <cell r="D44"/>
          <cell r="E44">
            <v>3618</v>
          </cell>
          <cell r="F44">
            <v>7255</v>
          </cell>
          <cell r="G44">
            <v>12781</v>
          </cell>
          <cell r="H44">
            <v>19042</v>
          </cell>
          <cell r="I44">
            <v>27848</v>
          </cell>
          <cell r="J44">
            <v>38031</v>
          </cell>
          <cell r="K44">
            <v>47726</v>
          </cell>
          <cell r="L44">
            <v>58381</v>
          </cell>
          <cell r="M44">
            <v>64753</v>
          </cell>
          <cell r="N44">
            <v>74024</v>
          </cell>
          <cell r="O44">
            <v>81889</v>
          </cell>
          <cell r="P44">
            <v>88045</v>
          </cell>
          <cell r="T44">
            <v>41</v>
          </cell>
          <cell r="U44" t="str">
            <v>Other</v>
          </cell>
          <cell r="W44"/>
          <cell r="X44">
            <v>3035</v>
          </cell>
          <cell r="Y44">
            <v>5851</v>
          </cell>
          <cell r="Z44">
            <v>9728</v>
          </cell>
          <cell r="AA44">
            <v>14353</v>
          </cell>
          <cell r="AB44">
            <v>17964</v>
          </cell>
          <cell r="AC44">
            <v>26801</v>
          </cell>
          <cell r="AD44">
            <v>34362</v>
          </cell>
          <cell r="AE44">
            <v>45635</v>
          </cell>
          <cell r="AF44">
            <v>53824</v>
          </cell>
          <cell r="AG44">
            <v>65342</v>
          </cell>
          <cell r="AH44">
            <v>72122</v>
          </cell>
          <cell r="AI44">
            <v>78085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951517</v>
          </cell>
          <cell r="F45">
            <v>2087892</v>
          </cell>
          <cell r="G45">
            <v>2999039</v>
          </cell>
          <cell r="H45">
            <v>3656960</v>
          </cell>
          <cell r="I45">
            <v>4154823</v>
          </cell>
          <cell r="J45">
            <v>4555553</v>
          </cell>
          <cell r="K45">
            <v>4882239</v>
          </cell>
          <cell r="L45">
            <v>5222900</v>
          </cell>
          <cell r="M45">
            <v>5601828</v>
          </cell>
          <cell r="N45">
            <v>6026818</v>
          </cell>
          <cell r="O45">
            <v>6555988</v>
          </cell>
          <cell r="P45">
            <v>7487590</v>
          </cell>
          <cell r="T45">
            <v>42</v>
          </cell>
          <cell r="U45" t="str">
            <v>Total Volume</v>
          </cell>
          <cell r="V45"/>
          <cell r="W45"/>
          <cell r="X45">
            <v>1137886</v>
          </cell>
          <cell r="Y45">
            <v>2435082</v>
          </cell>
          <cell r="Z45">
            <v>3643281</v>
          </cell>
          <cell r="AA45">
            <v>4372849</v>
          </cell>
          <cell r="AB45">
            <v>4781600</v>
          </cell>
          <cell r="AC45">
            <v>5116864</v>
          </cell>
          <cell r="AD45">
            <v>5451388</v>
          </cell>
          <cell r="AE45">
            <v>5760947</v>
          </cell>
          <cell r="AF45">
            <v>6125338</v>
          </cell>
          <cell r="AG45">
            <v>6571137</v>
          </cell>
          <cell r="AH45">
            <v>7064212</v>
          </cell>
          <cell r="AI45">
            <v>7798108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V47"/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388267</v>
          </cell>
          <cell r="F48">
            <v>931790</v>
          </cell>
          <cell r="G48">
            <v>1318921</v>
          </cell>
          <cell r="H48">
            <v>1574809</v>
          </cell>
          <cell r="I48">
            <v>1720189</v>
          </cell>
          <cell r="J48">
            <v>1790222</v>
          </cell>
          <cell r="K48">
            <v>1837632</v>
          </cell>
          <cell r="L48">
            <v>1877291</v>
          </cell>
          <cell r="M48">
            <v>1922056</v>
          </cell>
          <cell r="N48">
            <v>1975694</v>
          </cell>
          <cell r="O48">
            <v>2122559</v>
          </cell>
          <cell r="P48">
            <v>2488792</v>
          </cell>
          <cell r="T48">
            <v>45</v>
          </cell>
          <cell r="U48" t="str">
            <v>Residential</v>
          </cell>
          <cell r="W48"/>
          <cell r="X48">
            <v>541039</v>
          </cell>
          <cell r="Y48">
            <v>1189634</v>
          </cell>
          <cell r="Z48">
            <v>1787906</v>
          </cell>
          <cell r="AA48">
            <v>2084752</v>
          </cell>
          <cell r="AB48">
            <v>2196374</v>
          </cell>
          <cell r="AC48">
            <v>2248985</v>
          </cell>
          <cell r="AD48">
            <v>2295313</v>
          </cell>
          <cell r="AE48">
            <v>2337881</v>
          </cell>
          <cell r="AF48">
            <v>2379520</v>
          </cell>
          <cell r="AG48">
            <v>2454997</v>
          </cell>
          <cell r="AH48">
            <v>2594461</v>
          </cell>
          <cell r="AI48">
            <v>2854245</v>
          </cell>
        </row>
        <row r="49">
          <cell r="A49">
            <v>46</v>
          </cell>
          <cell r="B49" t="str">
            <v>Commercial</v>
          </cell>
          <cell r="D49"/>
          <cell r="E49">
            <v>316998</v>
          </cell>
          <cell r="F49">
            <v>669530</v>
          </cell>
          <cell r="G49">
            <v>931278</v>
          </cell>
          <cell r="H49">
            <v>1107768</v>
          </cell>
          <cell r="I49">
            <v>1231107</v>
          </cell>
          <cell r="J49">
            <v>1325388</v>
          </cell>
          <cell r="K49">
            <v>1401857</v>
          </cell>
          <cell r="L49">
            <v>1478829</v>
          </cell>
          <cell r="M49">
            <v>1562774</v>
          </cell>
          <cell r="N49">
            <v>1664810</v>
          </cell>
          <cell r="O49">
            <v>1816321</v>
          </cell>
          <cell r="P49">
            <v>2115267</v>
          </cell>
          <cell r="T49">
            <v>46</v>
          </cell>
          <cell r="U49" t="str">
            <v>Commercial</v>
          </cell>
          <cell r="W49"/>
          <cell r="X49">
            <v>379463</v>
          </cell>
          <cell r="Y49">
            <v>827570</v>
          </cell>
          <cell r="Z49">
            <v>1217531</v>
          </cell>
          <cell r="AA49">
            <v>1431036</v>
          </cell>
          <cell r="AB49">
            <v>1532920</v>
          </cell>
          <cell r="AC49">
            <v>1613642</v>
          </cell>
          <cell r="AD49">
            <v>1693179</v>
          </cell>
          <cell r="AE49">
            <v>1766036</v>
          </cell>
          <cell r="AF49">
            <v>1842317</v>
          </cell>
          <cell r="AG49">
            <v>1957327</v>
          </cell>
          <cell r="AH49">
            <v>2096020</v>
          </cell>
          <cell r="AI49">
            <v>2308624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299138</v>
          </cell>
          <cell r="F50">
            <v>600636</v>
          </cell>
          <cell r="G50">
            <v>906318</v>
          </cell>
          <cell r="H50">
            <v>1162054</v>
          </cell>
          <cell r="I50">
            <v>1407447</v>
          </cell>
          <cell r="J50">
            <v>1654020</v>
          </cell>
          <cell r="K50">
            <v>1865090</v>
          </cell>
          <cell r="L50">
            <v>2096811</v>
          </cell>
          <cell r="M50">
            <v>2360856</v>
          </cell>
          <cell r="N50">
            <v>2642781</v>
          </cell>
          <cell r="O50">
            <v>2892954</v>
          </cell>
          <cell r="P50">
            <v>3201844</v>
          </cell>
          <cell r="T50">
            <v>47</v>
          </cell>
          <cell r="U50" t="str">
            <v xml:space="preserve">Industrial </v>
          </cell>
          <cell r="W50"/>
          <cell r="X50">
            <v>284540</v>
          </cell>
          <cell r="Y50">
            <v>565589</v>
          </cell>
          <cell r="Z50">
            <v>858237</v>
          </cell>
          <cell r="AA50">
            <v>1115194</v>
          </cell>
          <cell r="AB50">
            <v>1330682</v>
          </cell>
          <cell r="AC50">
            <v>1544350</v>
          </cell>
          <cell r="AD50">
            <v>1764530</v>
          </cell>
          <cell r="AE50">
            <v>1964259</v>
          </cell>
          <cell r="AF50">
            <v>2222157</v>
          </cell>
          <cell r="AG50">
            <v>2491804</v>
          </cell>
          <cell r="AH50">
            <v>2726464</v>
          </cell>
          <cell r="AI50">
            <v>3022249</v>
          </cell>
        </row>
        <row r="51">
          <cell r="A51">
            <v>48</v>
          </cell>
          <cell r="B51" t="str">
            <v>Other</v>
          </cell>
          <cell r="D51"/>
          <cell r="E51">
            <v>3834</v>
          </cell>
          <cell r="F51">
            <v>7679</v>
          </cell>
          <cell r="G51">
            <v>13504</v>
          </cell>
          <cell r="H51">
            <v>20115</v>
          </cell>
          <cell r="I51">
            <v>29372</v>
          </cell>
          <cell r="J51">
            <v>40085</v>
          </cell>
          <cell r="K51">
            <v>50329</v>
          </cell>
          <cell r="L51">
            <v>61576</v>
          </cell>
          <cell r="M51">
            <v>68293</v>
          </cell>
          <cell r="N51">
            <v>78052</v>
          </cell>
          <cell r="O51">
            <v>86328</v>
          </cell>
          <cell r="P51">
            <v>92807</v>
          </cell>
          <cell r="T51">
            <v>48</v>
          </cell>
          <cell r="U51" t="str">
            <v>Other</v>
          </cell>
          <cell r="W51"/>
          <cell r="X51">
            <v>3223</v>
          </cell>
          <cell r="Y51">
            <v>6220</v>
          </cell>
          <cell r="Z51">
            <v>10343</v>
          </cell>
          <cell r="AA51">
            <v>15238</v>
          </cell>
          <cell r="AB51">
            <v>19062</v>
          </cell>
          <cell r="AC51">
            <v>28456</v>
          </cell>
          <cell r="AD51">
            <v>36458</v>
          </cell>
          <cell r="AE51">
            <v>48368</v>
          </cell>
          <cell r="AF51">
            <v>57008</v>
          </cell>
          <cell r="AG51">
            <v>69212</v>
          </cell>
          <cell r="AH51">
            <v>76362</v>
          </cell>
          <cell r="AI51">
            <v>82655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1008237</v>
          </cell>
          <cell r="F52">
            <v>2209635</v>
          </cell>
          <cell r="G52">
            <v>3170021</v>
          </cell>
          <cell r="H52">
            <v>3864746</v>
          </cell>
          <cell r="I52">
            <v>4388115</v>
          </cell>
          <cell r="J52">
            <v>4809715</v>
          </cell>
          <cell r="K52">
            <v>5154908</v>
          </cell>
          <cell r="L52">
            <v>5514507</v>
          </cell>
          <cell r="M52">
            <v>5913979</v>
          </cell>
          <cell r="N52">
            <v>6361337</v>
          </cell>
          <cell r="O52">
            <v>6918162</v>
          </cell>
          <cell r="P52">
            <v>7898710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1208265</v>
          </cell>
          <cell r="Y52">
            <v>2589013</v>
          </cell>
          <cell r="Z52">
            <v>3874017</v>
          </cell>
          <cell r="AA52">
            <v>4646220</v>
          </cell>
          <cell r="AB52">
            <v>5079038</v>
          </cell>
          <cell r="AC52">
            <v>5435433</v>
          </cell>
          <cell r="AD52">
            <v>5789480</v>
          </cell>
          <cell r="AE52">
            <v>6116544</v>
          </cell>
          <cell r="AF52">
            <v>6501002</v>
          </cell>
          <cell r="AG52">
            <v>6973340</v>
          </cell>
          <cell r="AH52">
            <v>7493307</v>
          </cell>
          <cell r="AI52">
            <v>8267773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47706</v>
          </cell>
          <cell r="F55">
            <v>47770</v>
          </cell>
          <cell r="G55">
            <v>47789</v>
          </cell>
          <cell r="H55">
            <v>47782</v>
          </cell>
          <cell r="I55">
            <v>47791</v>
          </cell>
          <cell r="J55">
            <v>47805</v>
          </cell>
          <cell r="K55">
            <v>47867</v>
          </cell>
          <cell r="L55">
            <v>47902</v>
          </cell>
          <cell r="M55">
            <v>47941</v>
          </cell>
          <cell r="N55">
            <v>47989</v>
          </cell>
          <cell r="O55">
            <v>48065</v>
          </cell>
          <cell r="P55">
            <v>48164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1116645</v>
          </cell>
          <cell r="F56">
            <v>2337478</v>
          </cell>
          <cell r="G56">
            <v>3363682</v>
          </cell>
          <cell r="H56">
            <v>4073793</v>
          </cell>
          <cell r="I56">
            <v>4509846</v>
          </cell>
          <cell r="J56">
            <v>4859802</v>
          </cell>
          <cell r="K56">
            <v>5175166</v>
          </cell>
          <cell r="L56">
            <v>5480910</v>
          </cell>
          <cell r="M56">
            <v>5836137</v>
          </cell>
          <cell r="N56">
            <v>6293715</v>
          </cell>
          <cell r="O56">
            <v>6896674</v>
          </cell>
          <cell r="P56">
            <v>7852301</v>
          </cell>
        </row>
        <row r="57">
          <cell r="A57">
            <v>54</v>
          </cell>
          <cell r="B57" t="str">
            <v>Cumulative YTD Budget Volume (Dts) * 1.035</v>
          </cell>
          <cell r="E57">
            <v>1155727.575</v>
          </cell>
          <cell r="F57">
            <v>2419289.7299999995</v>
          </cell>
          <cell r="G57">
            <v>3481410.8699999992</v>
          </cell>
          <cell r="H57">
            <v>4216375.754999999</v>
          </cell>
          <cell r="I57">
            <v>4667690.6099999994</v>
          </cell>
          <cell r="J57">
            <v>5029895.0699999994</v>
          </cell>
          <cell r="K57">
            <v>5356296.8099999996</v>
          </cell>
          <cell r="L57">
            <v>5672741.8499999996</v>
          </cell>
          <cell r="M57">
            <v>6040401.7949999999</v>
          </cell>
          <cell r="N57">
            <v>6513995.0250000004</v>
          </cell>
          <cell r="O57">
            <v>7138057.5899999999</v>
          </cell>
          <cell r="P57">
            <v>8127131.5350000001</v>
          </cell>
        </row>
      </sheetData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11034.666666666666</v>
          </cell>
          <cell r="E5">
            <v>11226</v>
          </cell>
          <cell r="F5">
            <v>11343</v>
          </cell>
          <cell r="G5">
            <v>11337</v>
          </cell>
          <cell r="H5">
            <v>11308</v>
          </cell>
          <cell r="I5">
            <v>11150</v>
          </cell>
          <cell r="J5">
            <v>10993</v>
          </cell>
          <cell r="K5">
            <v>10843</v>
          </cell>
          <cell r="L5">
            <v>10765</v>
          </cell>
          <cell r="M5">
            <v>10714</v>
          </cell>
          <cell r="N5">
            <v>10740</v>
          </cell>
          <cell r="O5">
            <v>10877</v>
          </cell>
          <cell r="P5">
            <v>11120</v>
          </cell>
          <cell r="T5">
            <v>2</v>
          </cell>
          <cell r="U5" t="str">
            <v>Residential</v>
          </cell>
          <cell r="V5">
            <v>10967</v>
          </cell>
          <cell r="W5">
            <v>131606</v>
          </cell>
          <cell r="X5">
            <v>11265</v>
          </cell>
          <cell r="Y5">
            <v>11343</v>
          </cell>
          <cell r="Z5">
            <v>11374</v>
          </cell>
          <cell r="AA5">
            <v>11276</v>
          </cell>
          <cell r="AB5">
            <v>10955</v>
          </cell>
          <cell r="AC5">
            <v>10729</v>
          </cell>
          <cell r="AD5">
            <v>10634</v>
          </cell>
          <cell r="AE5">
            <v>10607</v>
          </cell>
          <cell r="AF5">
            <v>10637</v>
          </cell>
          <cell r="AG5">
            <v>10711</v>
          </cell>
          <cell r="AH5">
            <v>10957</v>
          </cell>
          <cell r="AI5">
            <v>11118</v>
          </cell>
        </row>
        <row r="6">
          <cell r="A6">
            <v>3</v>
          </cell>
          <cell r="B6" t="str">
            <v>Commercial</v>
          </cell>
          <cell r="C6"/>
          <cell r="D6">
            <v>1826.5</v>
          </cell>
          <cell r="E6">
            <v>1851</v>
          </cell>
          <cell r="F6">
            <v>1861</v>
          </cell>
          <cell r="G6">
            <v>1864</v>
          </cell>
          <cell r="H6">
            <v>1847</v>
          </cell>
          <cell r="I6">
            <v>1825</v>
          </cell>
          <cell r="J6">
            <v>1816</v>
          </cell>
          <cell r="K6">
            <v>1813</v>
          </cell>
          <cell r="L6">
            <v>1794</v>
          </cell>
          <cell r="M6">
            <v>1789</v>
          </cell>
          <cell r="N6">
            <v>1792</v>
          </cell>
          <cell r="O6">
            <v>1816</v>
          </cell>
          <cell r="P6">
            <v>1850</v>
          </cell>
          <cell r="T6">
            <v>3</v>
          </cell>
          <cell r="U6" t="str">
            <v>Commercial</v>
          </cell>
          <cell r="V6">
            <v>1800</v>
          </cell>
          <cell r="W6">
            <v>21599</v>
          </cell>
          <cell r="X6">
            <v>1834</v>
          </cell>
          <cell r="Y6">
            <v>1844</v>
          </cell>
          <cell r="Z6">
            <v>1844</v>
          </cell>
          <cell r="AA6">
            <v>1830</v>
          </cell>
          <cell r="AB6">
            <v>1795</v>
          </cell>
          <cell r="AC6">
            <v>1772</v>
          </cell>
          <cell r="AD6">
            <v>1761</v>
          </cell>
          <cell r="AE6">
            <v>1758</v>
          </cell>
          <cell r="AF6">
            <v>1764</v>
          </cell>
          <cell r="AG6">
            <v>1769</v>
          </cell>
          <cell r="AH6">
            <v>1798</v>
          </cell>
          <cell r="AI6">
            <v>1830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39.166666666666664</v>
          </cell>
          <cell r="E7">
            <v>38</v>
          </cell>
          <cell r="F7">
            <v>38</v>
          </cell>
          <cell r="G7">
            <v>38</v>
          </cell>
          <cell r="H7">
            <v>38</v>
          </cell>
          <cell r="I7">
            <v>39</v>
          </cell>
          <cell r="J7">
            <v>39</v>
          </cell>
          <cell r="K7">
            <v>40</v>
          </cell>
          <cell r="L7">
            <v>40</v>
          </cell>
          <cell r="M7">
            <v>40</v>
          </cell>
          <cell r="N7">
            <v>40</v>
          </cell>
          <cell r="O7">
            <v>40</v>
          </cell>
          <cell r="P7">
            <v>40</v>
          </cell>
          <cell r="T7">
            <v>4</v>
          </cell>
          <cell r="U7" t="str">
            <v xml:space="preserve">Industrial </v>
          </cell>
          <cell r="V7">
            <v>37</v>
          </cell>
          <cell r="W7">
            <v>445</v>
          </cell>
          <cell r="X7">
            <v>37</v>
          </cell>
          <cell r="Y7">
            <v>37</v>
          </cell>
          <cell r="Z7">
            <v>37</v>
          </cell>
          <cell r="AA7">
            <v>37</v>
          </cell>
          <cell r="AB7">
            <v>37</v>
          </cell>
          <cell r="AC7">
            <v>37</v>
          </cell>
          <cell r="AD7">
            <v>37</v>
          </cell>
          <cell r="AE7">
            <v>37</v>
          </cell>
          <cell r="AF7">
            <v>37</v>
          </cell>
          <cell r="AG7">
            <v>37</v>
          </cell>
          <cell r="AH7">
            <v>37</v>
          </cell>
          <cell r="AI7">
            <v>38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/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12900.333333333332</v>
          </cell>
          <cell r="E9">
            <v>13115</v>
          </cell>
          <cell r="F9">
            <v>13242</v>
          </cell>
          <cell r="G9">
            <v>13239</v>
          </cell>
          <cell r="H9">
            <v>13193</v>
          </cell>
          <cell r="I9">
            <v>13014</v>
          </cell>
          <cell r="J9">
            <v>12848</v>
          </cell>
          <cell r="K9">
            <v>12696</v>
          </cell>
          <cell r="L9">
            <v>12599</v>
          </cell>
          <cell r="M9">
            <v>12543</v>
          </cell>
          <cell r="N9">
            <v>12572</v>
          </cell>
          <cell r="O9">
            <v>12733</v>
          </cell>
          <cell r="P9">
            <v>13010</v>
          </cell>
          <cell r="T9">
            <v>6</v>
          </cell>
          <cell r="U9" t="str">
            <v>Total customers</v>
          </cell>
          <cell r="V9">
            <v>12804</v>
          </cell>
          <cell r="W9">
            <v>153650</v>
          </cell>
          <cell r="X9">
            <v>13136</v>
          </cell>
          <cell r="Y9">
            <v>13224</v>
          </cell>
          <cell r="Z9">
            <v>13255</v>
          </cell>
          <cell r="AA9">
            <v>13143</v>
          </cell>
          <cell r="AB9">
            <v>12787</v>
          </cell>
          <cell r="AC9">
            <v>12538</v>
          </cell>
          <cell r="AD9">
            <v>12432</v>
          </cell>
          <cell r="AE9">
            <v>12402</v>
          </cell>
          <cell r="AF9">
            <v>12438</v>
          </cell>
          <cell r="AG9">
            <v>12517</v>
          </cell>
          <cell r="AH9">
            <v>12792</v>
          </cell>
          <cell r="AI9">
            <v>12986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- 2016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476810</v>
          </cell>
          <cell r="D12"/>
          <cell r="E12">
            <v>69314</v>
          </cell>
          <cell r="F12">
            <v>100309</v>
          </cell>
          <cell r="G12">
            <v>83121</v>
          </cell>
          <cell r="H12">
            <v>47236</v>
          </cell>
          <cell r="I12">
            <v>30343</v>
          </cell>
          <cell r="J12">
            <v>15152</v>
          </cell>
          <cell r="K12">
            <v>8857</v>
          </cell>
          <cell r="L12">
            <v>7993</v>
          </cell>
          <cell r="M12">
            <v>8653</v>
          </cell>
          <cell r="N12">
            <v>10803</v>
          </cell>
          <cell r="O12">
            <v>28049</v>
          </cell>
          <cell r="P12">
            <v>66980</v>
          </cell>
          <cell r="T12">
            <v>9</v>
          </cell>
          <cell r="U12" t="str">
            <v>Residential</v>
          </cell>
          <cell r="W12">
            <v>560347</v>
          </cell>
          <cell r="X12">
            <v>101939</v>
          </cell>
          <cell r="Y12">
            <v>122779</v>
          </cell>
          <cell r="Z12">
            <v>123834</v>
          </cell>
          <cell r="AA12">
            <v>62557</v>
          </cell>
          <cell r="AB12">
            <v>23816</v>
          </cell>
          <cell r="AC12">
            <v>10926</v>
          </cell>
          <cell r="AD12">
            <v>9217</v>
          </cell>
          <cell r="AE12">
            <v>8543</v>
          </cell>
          <cell r="AF12">
            <v>8551</v>
          </cell>
          <cell r="AG12">
            <v>14099</v>
          </cell>
          <cell r="AH12">
            <v>28654</v>
          </cell>
          <cell r="AI12">
            <v>45432</v>
          </cell>
        </row>
        <row r="13">
          <cell r="A13">
            <v>10</v>
          </cell>
          <cell r="B13" t="str">
            <v>Commercial</v>
          </cell>
          <cell r="C13">
            <v>804855</v>
          </cell>
          <cell r="D13"/>
          <cell r="E13">
            <v>95392</v>
          </cell>
          <cell r="F13">
            <v>125552</v>
          </cell>
          <cell r="G13">
            <v>106532</v>
          </cell>
          <cell r="H13">
            <v>69664</v>
          </cell>
          <cell r="I13">
            <v>54827</v>
          </cell>
          <cell r="J13">
            <v>40729</v>
          </cell>
          <cell r="K13">
            <v>32851</v>
          </cell>
          <cell r="L13">
            <v>32580</v>
          </cell>
          <cell r="M13">
            <v>37045</v>
          </cell>
          <cell r="N13">
            <v>44487</v>
          </cell>
          <cell r="O13">
            <v>61333</v>
          </cell>
          <cell r="P13">
            <v>103863</v>
          </cell>
          <cell r="T13">
            <v>10</v>
          </cell>
          <cell r="U13" t="str">
            <v>Commercial</v>
          </cell>
          <cell r="W13">
            <v>861998</v>
          </cell>
          <cell r="X13">
            <v>130027</v>
          </cell>
          <cell r="Y13">
            <v>154728</v>
          </cell>
          <cell r="Z13">
            <v>140770</v>
          </cell>
          <cell r="AA13">
            <v>85391</v>
          </cell>
          <cell r="AB13">
            <v>45510</v>
          </cell>
          <cell r="AC13">
            <v>33968</v>
          </cell>
          <cell r="AD13">
            <v>32774</v>
          </cell>
          <cell r="AE13">
            <v>30588</v>
          </cell>
          <cell r="AF13">
            <v>33261</v>
          </cell>
          <cell r="AG13">
            <v>47261</v>
          </cell>
          <cell r="AH13">
            <v>53996</v>
          </cell>
          <cell r="AI13">
            <v>73724</v>
          </cell>
        </row>
        <row r="14">
          <cell r="A14">
            <v>11</v>
          </cell>
          <cell r="B14" t="str">
            <v xml:space="preserve">Industrial </v>
          </cell>
          <cell r="C14">
            <v>1640298</v>
          </cell>
          <cell r="D14"/>
          <cell r="E14">
            <v>140418</v>
          </cell>
          <cell r="F14">
            <v>137864</v>
          </cell>
          <cell r="G14">
            <v>142627</v>
          </cell>
          <cell r="H14">
            <v>130717</v>
          </cell>
          <cell r="I14">
            <v>119334</v>
          </cell>
          <cell r="J14">
            <v>133093</v>
          </cell>
          <cell r="K14">
            <v>112375</v>
          </cell>
          <cell r="L14">
            <v>131056</v>
          </cell>
          <cell r="M14">
            <v>141273</v>
          </cell>
          <cell r="N14">
            <v>149609</v>
          </cell>
          <cell r="O14">
            <v>144214</v>
          </cell>
          <cell r="P14">
            <v>157718</v>
          </cell>
          <cell r="T14">
            <v>11</v>
          </cell>
          <cell r="U14" t="str">
            <v xml:space="preserve">Industrial </v>
          </cell>
          <cell r="W14">
            <v>1431238</v>
          </cell>
          <cell r="X14">
            <v>124081</v>
          </cell>
          <cell r="Y14">
            <v>123031</v>
          </cell>
          <cell r="Z14">
            <v>126676</v>
          </cell>
          <cell r="AA14">
            <v>120032</v>
          </cell>
          <cell r="AB14">
            <v>103514</v>
          </cell>
          <cell r="AC14">
            <v>107589</v>
          </cell>
          <cell r="AD14">
            <v>99065</v>
          </cell>
          <cell r="AE14">
            <v>101942</v>
          </cell>
          <cell r="AF14">
            <v>122856</v>
          </cell>
          <cell r="AG14">
            <v>134763</v>
          </cell>
          <cell r="AH14">
            <v>123983</v>
          </cell>
          <cell r="AI14">
            <v>143706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2921963</v>
          </cell>
          <cell r="D16"/>
          <cell r="E16">
            <v>305124</v>
          </cell>
          <cell r="F16">
            <v>363725</v>
          </cell>
          <cell r="G16">
            <v>332280</v>
          </cell>
          <cell r="H16">
            <v>247617</v>
          </cell>
          <cell r="I16">
            <v>204504</v>
          </cell>
          <cell r="J16">
            <v>188974</v>
          </cell>
          <cell r="K16">
            <v>154083</v>
          </cell>
          <cell r="L16">
            <v>171629</v>
          </cell>
          <cell r="M16">
            <v>186971</v>
          </cell>
          <cell r="N16">
            <v>204899</v>
          </cell>
          <cell r="O16">
            <v>233596</v>
          </cell>
          <cell r="P16">
            <v>328561</v>
          </cell>
          <cell r="T16">
            <v>13</v>
          </cell>
          <cell r="U16" t="str">
            <v>Total Deliveries</v>
          </cell>
          <cell r="V16"/>
          <cell r="W16">
            <v>2853583</v>
          </cell>
          <cell r="X16">
            <v>356047</v>
          </cell>
          <cell r="Y16">
            <v>400538</v>
          </cell>
          <cell r="Z16">
            <v>391280</v>
          </cell>
          <cell r="AA16">
            <v>267980</v>
          </cell>
          <cell r="AB16">
            <v>172840</v>
          </cell>
          <cell r="AC16">
            <v>152483</v>
          </cell>
          <cell r="AD16">
            <v>141056</v>
          </cell>
          <cell r="AE16">
            <v>141073</v>
          </cell>
          <cell r="AF16">
            <v>164668</v>
          </cell>
          <cell r="AG16">
            <v>196123</v>
          </cell>
          <cell r="AH16">
            <v>206633</v>
          </cell>
          <cell r="AI16">
            <v>262862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503128</v>
          </cell>
          <cell r="E21">
            <v>73446</v>
          </cell>
          <cell r="F21">
            <v>106049</v>
          </cell>
          <cell r="G21">
            <v>87613</v>
          </cell>
          <cell r="H21">
            <v>49878</v>
          </cell>
          <cell r="I21">
            <v>31897</v>
          </cell>
          <cell r="J21">
            <v>15941</v>
          </cell>
          <cell r="K21">
            <v>9359</v>
          </cell>
          <cell r="L21">
            <v>8437</v>
          </cell>
          <cell r="M21">
            <v>9122</v>
          </cell>
          <cell r="N21">
            <v>11372</v>
          </cell>
          <cell r="O21">
            <v>29515</v>
          </cell>
          <cell r="P21">
            <v>70499</v>
          </cell>
          <cell r="T21">
            <v>18</v>
          </cell>
          <cell r="U21" t="str">
            <v>Residential</v>
          </cell>
          <cell r="W21">
            <v>594584</v>
          </cell>
          <cell r="X21">
            <v>108244</v>
          </cell>
          <cell r="Y21">
            <v>130687</v>
          </cell>
          <cell r="Z21">
            <v>131706</v>
          </cell>
          <cell r="AA21">
            <v>66213</v>
          </cell>
          <cell r="AB21">
            <v>25218</v>
          </cell>
          <cell r="AC21">
            <v>11615</v>
          </cell>
          <cell r="AD21">
            <v>9755</v>
          </cell>
          <cell r="AE21">
            <v>9026</v>
          </cell>
          <cell r="AF21">
            <v>9022</v>
          </cell>
          <cell r="AG21">
            <v>14938</v>
          </cell>
          <cell r="AH21">
            <v>30217</v>
          </cell>
          <cell r="AI21">
            <v>47943</v>
          </cell>
        </row>
        <row r="22">
          <cell r="A22">
            <v>19</v>
          </cell>
          <cell r="B22" t="str">
            <v>Commercial</v>
          </cell>
          <cell r="D22">
            <v>848993</v>
          </cell>
          <cell r="E22">
            <v>101078</v>
          </cell>
          <cell r="F22">
            <v>132736</v>
          </cell>
          <cell r="G22">
            <v>112289</v>
          </cell>
          <cell r="H22">
            <v>73561</v>
          </cell>
          <cell r="I22">
            <v>57636</v>
          </cell>
          <cell r="J22">
            <v>42850</v>
          </cell>
          <cell r="K22">
            <v>34712</v>
          </cell>
          <cell r="L22">
            <v>34391</v>
          </cell>
          <cell r="M22">
            <v>39054</v>
          </cell>
          <cell r="N22">
            <v>46828</v>
          </cell>
          <cell r="O22">
            <v>64538</v>
          </cell>
          <cell r="P22">
            <v>109320</v>
          </cell>
          <cell r="T22">
            <v>19</v>
          </cell>
          <cell r="U22" t="str">
            <v>Commercial</v>
          </cell>
          <cell r="W22">
            <v>914074</v>
          </cell>
          <cell r="X22">
            <v>138069</v>
          </cell>
          <cell r="Y22">
            <v>164694</v>
          </cell>
          <cell r="Z22">
            <v>149719</v>
          </cell>
          <cell r="AA22">
            <v>90381</v>
          </cell>
          <cell r="AB22">
            <v>48190</v>
          </cell>
          <cell r="AC22">
            <v>36109</v>
          </cell>
          <cell r="AD22">
            <v>34687</v>
          </cell>
          <cell r="AE22">
            <v>32318</v>
          </cell>
          <cell r="AF22">
            <v>35093</v>
          </cell>
          <cell r="AG22">
            <v>50074</v>
          </cell>
          <cell r="AH22">
            <v>56941</v>
          </cell>
          <cell r="AI22">
            <v>77799</v>
          </cell>
        </row>
        <row r="23">
          <cell r="A23">
            <v>20</v>
          </cell>
          <cell r="B23" t="str">
            <v xml:space="preserve">Industrial </v>
          </cell>
          <cell r="D23">
            <v>1729630</v>
          </cell>
          <cell r="E23">
            <v>148788</v>
          </cell>
          <cell r="F23">
            <v>145753</v>
          </cell>
          <cell r="G23">
            <v>150335</v>
          </cell>
          <cell r="H23">
            <v>138029</v>
          </cell>
          <cell r="I23">
            <v>125447</v>
          </cell>
          <cell r="J23">
            <v>140024</v>
          </cell>
          <cell r="K23">
            <v>118741</v>
          </cell>
          <cell r="L23">
            <v>138341</v>
          </cell>
          <cell r="M23">
            <v>148933</v>
          </cell>
          <cell r="N23">
            <v>157483</v>
          </cell>
          <cell r="O23">
            <v>151751</v>
          </cell>
          <cell r="P23">
            <v>166005</v>
          </cell>
          <cell r="T23">
            <v>20</v>
          </cell>
          <cell r="U23" t="str">
            <v xml:space="preserve">Industrial </v>
          </cell>
          <cell r="W23">
            <v>1515820</v>
          </cell>
          <cell r="X23">
            <v>131755</v>
          </cell>
          <cell r="Y23">
            <v>130955</v>
          </cell>
          <cell r="Z23">
            <v>134729</v>
          </cell>
          <cell r="AA23">
            <v>127047</v>
          </cell>
          <cell r="AB23">
            <v>109609</v>
          </cell>
          <cell r="AC23">
            <v>114370</v>
          </cell>
          <cell r="AD23">
            <v>104846</v>
          </cell>
          <cell r="AE23">
            <v>107707</v>
          </cell>
          <cell r="AF23">
            <v>129622</v>
          </cell>
          <cell r="AG23">
            <v>142785</v>
          </cell>
          <cell r="AH23">
            <v>130745</v>
          </cell>
          <cell r="AI23">
            <v>151650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3081751</v>
          </cell>
          <cell r="E25">
            <v>323312</v>
          </cell>
          <cell r="F25">
            <v>384538</v>
          </cell>
          <cell r="G25">
            <v>350237</v>
          </cell>
          <cell r="H25">
            <v>261468</v>
          </cell>
          <cell r="I25">
            <v>214980</v>
          </cell>
          <cell r="J25">
            <v>198815</v>
          </cell>
          <cell r="K25">
            <v>162812</v>
          </cell>
          <cell r="L25">
            <v>181169</v>
          </cell>
          <cell r="M25">
            <v>197109</v>
          </cell>
          <cell r="N25">
            <v>215683</v>
          </cell>
          <cell r="O25">
            <v>245804</v>
          </cell>
          <cell r="P25">
            <v>345824</v>
          </cell>
          <cell r="T25">
            <v>22</v>
          </cell>
          <cell r="U25" t="str">
            <v>Total Deliveries</v>
          </cell>
          <cell r="V25"/>
          <cell r="W25">
            <v>3024478</v>
          </cell>
          <cell r="X25">
            <v>378068</v>
          </cell>
          <cell r="Y25">
            <v>426336</v>
          </cell>
          <cell r="Z25">
            <v>416154</v>
          </cell>
          <cell r="AA25">
            <v>283641</v>
          </cell>
          <cell r="AB25">
            <v>183017</v>
          </cell>
          <cell r="AC25">
            <v>162094</v>
          </cell>
          <cell r="AD25">
            <v>149288</v>
          </cell>
          <cell r="AE25">
            <v>149051</v>
          </cell>
          <cell r="AF25">
            <v>173737</v>
          </cell>
          <cell r="AG25">
            <v>207797</v>
          </cell>
          <cell r="AH25">
            <v>217903</v>
          </cell>
          <cell r="AI25">
            <v>277392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13274</v>
          </cell>
          <cell r="F28">
            <v>13279</v>
          </cell>
          <cell r="G28">
            <v>13280</v>
          </cell>
          <cell r="H28">
            <v>13254</v>
          </cell>
          <cell r="I28">
            <v>13040</v>
          </cell>
          <cell r="J28">
            <v>12582</v>
          </cell>
          <cell r="K28">
            <v>12550</v>
          </cell>
          <cell r="L28">
            <v>12547</v>
          </cell>
          <cell r="M28">
            <v>12542</v>
          </cell>
          <cell r="N28">
            <v>12656</v>
          </cell>
          <cell r="O28">
            <v>13019</v>
          </cell>
          <cell r="P28">
            <v>13418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349557</v>
          </cell>
          <cell r="F29">
            <v>375855</v>
          </cell>
          <cell r="G29">
            <v>340461</v>
          </cell>
          <cell r="H29">
            <v>266204</v>
          </cell>
          <cell r="I29">
            <v>183299</v>
          </cell>
          <cell r="J29">
            <v>157845</v>
          </cell>
          <cell r="K29">
            <v>156922</v>
          </cell>
          <cell r="L29">
            <v>144882</v>
          </cell>
          <cell r="M29">
            <v>166336</v>
          </cell>
          <cell r="N29">
            <v>200117</v>
          </cell>
          <cell r="O29">
            <v>228165</v>
          </cell>
          <cell r="P29">
            <v>325599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361791.495</v>
          </cell>
          <cell r="F30">
            <v>389009.92499999999</v>
          </cell>
          <cell r="G30">
            <v>352377.13499999995</v>
          </cell>
          <cell r="H30">
            <v>275521.13999999996</v>
          </cell>
          <cell r="I30">
            <v>189714.465</v>
          </cell>
          <cell r="J30">
            <v>163369.57499999998</v>
          </cell>
          <cell r="K30">
            <v>162414.26999999999</v>
          </cell>
          <cell r="L30">
            <v>149952.87</v>
          </cell>
          <cell r="M30">
            <v>172157.75999999998</v>
          </cell>
          <cell r="N30">
            <v>207121.09499999997</v>
          </cell>
          <cell r="O30">
            <v>236150.77499999999</v>
          </cell>
          <cell r="P30">
            <v>336994.96499999997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11226</v>
          </cell>
          <cell r="F34">
            <v>11285</v>
          </cell>
          <cell r="G34">
            <v>11302</v>
          </cell>
          <cell r="H34">
            <v>11304</v>
          </cell>
          <cell r="I34">
            <v>11273</v>
          </cell>
          <cell r="J34">
            <v>11226</v>
          </cell>
          <cell r="K34">
            <v>11171</v>
          </cell>
          <cell r="L34">
            <v>11121</v>
          </cell>
          <cell r="M34">
            <v>11075</v>
          </cell>
          <cell r="N34">
            <v>11042</v>
          </cell>
          <cell r="O34">
            <v>11027</v>
          </cell>
          <cell r="P34">
            <v>11035</v>
          </cell>
          <cell r="T34">
            <v>31</v>
          </cell>
          <cell r="U34" t="str">
            <v>Residential</v>
          </cell>
          <cell r="V34"/>
          <cell r="W34"/>
          <cell r="X34">
            <v>11265</v>
          </cell>
          <cell r="Y34">
            <v>11304</v>
          </cell>
          <cell r="Z34">
            <v>11327</v>
          </cell>
          <cell r="AA34">
            <v>11315</v>
          </cell>
          <cell r="AB34">
            <v>11243</v>
          </cell>
          <cell r="AC34">
            <v>11157</v>
          </cell>
          <cell r="AD34">
            <v>11082</v>
          </cell>
          <cell r="AE34">
            <v>11023</v>
          </cell>
          <cell r="AF34">
            <v>10980</v>
          </cell>
          <cell r="AG34">
            <v>10953</v>
          </cell>
          <cell r="AH34">
            <v>10953</v>
          </cell>
          <cell r="AI34">
            <v>10967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1851</v>
          </cell>
          <cell r="F35">
            <v>1856</v>
          </cell>
          <cell r="G35">
            <v>1859</v>
          </cell>
          <cell r="H35">
            <v>1856</v>
          </cell>
          <cell r="I35">
            <v>1850</v>
          </cell>
          <cell r="J35">
            <v>1844</v>
          </cell>
          <cell r="K35">
            <v>1840</v>
          </cell>
          <cell r="L35">
            <v>1834</v>
          </cell>
          <cell r="M35">
            <v>1829</v>
          </cell>
          <cell r="N35">
            <v>1825</v>
          </cell>
          <cell r="O35">
            <v>1824</v>
          </cell>
          <cell r="P35">
            <v>1827</v>
          </cell>
          <cell r="T35">
            <v>32</v>
          </cell>
          <cell r="U35" t="str">
            <v>Commercial</v>
          </cell>
          <cell r="V35"/>
          <cell r="W35"/>
          <cell r="X35">
            <v>1834</v>
          </cell>
          <cell r="Y35">
            <v>1839</v>
          </cell>
          <cell r="Z35">
            <v>1841</v>
          </cell>
          <cell r="AA35">
            <v>1838</v>
          </cell>
          <cell r="AB35">
            <v>1829</v>
          </cell>
          <cell r="AC35">
            <v>1820</v>
          </cell>
          <cell r="AD35">
            <v>1811</v>
          </cell>
          <cell r="AE35">
            <v>1805</v>
          </cell>
          <cell r="AF35">
            <v>1800</v>
          </cell>
          <cell r="AG35">
            <v>1797</v>
          </cell>
          <cell r="AH35">
            <v>1797</v>
          </cell>
          <cell r="AI35">
            <v>1800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38</v>
          </cell>
          <cell r="F36">
            <v>38</v>
          </cell>
          <cell r="G36">
            <v>38</v>
          </cell>
          <cell r="H36">
            <v>38</v>
          </cell>
          <cell r="I36">
            <v>38</v>
          </cell>
          <cell r="J36">
            <v>38</v>
          </cell>
          <cell r="K36">
            <v>39</v>
          </cell>
          <cell r="L36">
            <v>39</v>
          </cell>
          <cell r="M36">
            <v>39</v>
          </cell>
          <cell r="N36">
            <v>39</v>
          </cell>
          <cell r="O36">
            <v>39</v>
          </cell>
          <cell r="P36">
            <v>39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37</v>
          </cell>
          <cell r="Y36">
            <v>37</v>
          </cell>
          <cell r="Z36">
            <v>37</v>
          </cell>
          <cell r="AA36">
            <v>37</v>
          </cell>
          <cell r="AB36">
            <v>37</v>
          </cell>
          <cell r="AC36">
            <v>37</v>
          </cell>
          <cell r="AD36">
            <v>37</v>
          </cell>
          <cell r="AE36">
            <v>37</v>
          </cell>
          <cell r="AF36">
            <v>37</v>
          </cell>
          <cell r="AG36">
            <v>37</v>
          </cell>
          <cell r="AH36">
            <v>37</v>
          </cell>
          <cell r="AI36">
            <v>37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13115</v>
          </cell>
          <cell r="F38">
            <v>13179</v>
          </cell>
          <cell r="G38">
            <v>13199</v>
          </cell>
          <cell r="H38">
            <v>13198</v>
          </cell>
          <cell r="I38">
            <v>13161</v>
          </cell>
          <cell r="J38">
            <v>13108</v>
          </cell>
          <cell r="K38">
            <v>13050</v>
          </cell>
          <cell r="L38">
            <v>12994</v>
          </cell>
          <cell r="M38">
            <v>12943</v>
          </cell>
          <cell r="N38">
            <v>12906</v>
          </cell>
          <cell r="O38">
            <v>12890</v>
          </cell>
          <cell r="P38">
            <v>12901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13136</v>
          </cell>
          <cell r="Y38">
            <v>13180</v>
          </cell>
          <cell r="Z38">
            <v>13205</v>
          </cell>
          <cell r="AA38">
            <v>13190</v>
          </cell>
          <cell r="AB38">
            <v>13109</v>
          </cell>
          <cell r="AC38">
            <v>13014</v>
          </cell>
          <cell r="AD38">
            <v>12930</v>
          </cell>
          <cell r="AE38">
            <v>12865</v>
          </cell>
          <cell r="AF38">
            <v>12817</v>
          </cell>
          <cell r="AG38">
            <v>12787</v>
          </cell>
          <cell r="AH38">
            <v>12787</v>
          </cell>
          <cell r="AI38">
            <v>12804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69314</v>
          </cell>
          <cell r="F41">
            <v>169623</v>
          </cell>
          <cell r="G41">
            <v>252744</v>
          </cell>
          <cell r="H41">
            <v>299980</v>
          </cell>
          <cell r="I41">
            <v>330323</v>
          </cell>
          <cell r="J41">
            <v>345475</v>
          </cell>
          <cell r="K41">
            <v>354332</v>
          </cell>
          <cell r="L41">
            <v>362325</v>
          </cell>
          <cell r="M41">
            <v>370978</v>
          </cell>
          <cell r="N41">
            <v>381781</v>
          </cell>
          <cell r="O41">
            <v>409830</v>
          </cell>
          <cell r="P41">
            <v>476810</v>
          </cell>
          <cell r="T41">
            <v>38</v>
          </cell>
          <cell r="U41" t="str">
            <v>Residential</v>
          </cell>
          <cell r="W41"/>
          <cell r="X41">
            <v>101939</v>
          </cell>
          <cell r="Y41">
            <v>224718</v>
          </cell>
          <cell r="Z41">
            <v>348552</v>
          </cell>
          <cell r="AA41">
            <v>411109</v>
          </cell>
          <cell r="AB41">
            <v>434925</v>
          </cell>
          <cell r="AC41">
            <v>445851</v>
          </cell>
          <cell r="AD41">
            <v>455068</v>
          </cell>
          <cell r="AE41">
            <v>463611</v>
          </cell>
          <cell r="AF41">
            <v>472162</v>
          </cell>
          <cell r="AG41">
            <v>486261</v>
          </cell>
          <cell r="AH41">
            <v>514915</v>
          </cell>
          <cell r="AI41">
            <v>560347</v>
          </cell>
        </row>
        <row r="42">
          <cell r="A42">
            <v>39</v>
          </cell>
          <cell r="B42" t="str">
            <v>Commercial</v>
          </cell>
          <cell r="D42"/>
          <cell r="E42">
            <v>95392</v>
          </cell>
          <cell r="F42">
            <v>220944</v>
          </cell>
          <cell r="G42">
            <v>327476</v>
          </cell>
          <cell r="H42">
            <v>397140</v>
          </cell>
          <cell r="I42">
            <v>451967</v>
          </cell>
          <cell r="J42">
            <v>492696</v>
          </cell>
          <cell r="K42">
            <v>525547</v>
          </cell>
          <cell r="L42">
            <v>558127</v>
          </cell>
          <cell r="M42">
            <v>595172</v>
          </cell>
          <cell r="N42">
            <v>639659</v>
          </cell>
          <cell r="O42">
            <v>700992</v>
          </cell>
          <cell r="P42">
            <v>804855</v>
          </cell>
          <cell r="T42">
            <v>39</v>
          </cell>
          <cell r="U42" t="str">
            <v>Commercial</v>
          </cell>
          <cell r="W42"/>
          <cell r="X42">
            <v>130027</v>
          </cell>
          <cell r="Y42">
            <v>284755</v>
          </cell>
          <cell r="Z42">
            <v>425525</v>
          </cell>
          <cell r="AA42">
            <v>510916</v>
          </cell>
          <cell r="AB42">
            <v>556426</v>
          </cell>
          <cell r="AC42">
            <v>590394</v>
          </cell>
          <cell r="AD42">
            <v>623168</v>
          </cell>
          <cell r="AE42">
            <v>653756</v>
          </cell>
          <cell r="AF42">
            <v>687017</v>
          </cell>
          <cell r="AG42">
            <v>734278</v>
          </cell>
          <cell r="AH42">
            <v>788274</v>
          </cell>
          <cell r="AI42">
            <v>861998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140418</v>
          </cell>
          <cell r="F43">
            <v>278282</v>
          </cell>
          <cell r="G43">
            <v>420909</v>
          </cell>
          <cell r="H43">
            <v>551626</v>
          </cell>
          <cell r="I43">
            <v>670960</v>
          </cell>
          <cell r="J43">
            <v>804053</v>
          </cell>
          <cell r="K43">
            <v>916428</v>
          </cell>
          <cell r="L43">
            <v>1047484</v>
          </cell>
          <cell r="M43">
            <v>1188757</v>
          </cell>
          <cell r="N43">
            <v>1338366</v>
          </cell>
          <cell r="O43">
            <v>1482580</v>
          </cell>
          <cell r="P43">
            <v>1640298</v>
          </cell>
          <cell r="T43">
            <v>40</v>
          </cell>
          <cell r="U43" t="str">
            <v xml:space="preserve">Industrial </v>
          </cell>
          <cell r="W43"/>
          <cell r="X43">
            <v>124081</v>
          </cell>
          <cell r="Y43">
            <v>247112</v>
          </cell>
          <cell r="Z43">
            <v>373788</v>
          </cell>
          <cell r="AA43">
            <v>493820</v>
          </cell>
          <cell r="AB43">
            <v>597334</v>
          </cell>
          <cell r="AC43">
            <v>704923</v>
          </cell>
          <cell r="AD43">
            <v>803988</v>
          </cell>
          <cell r="AE43">
            <v>905930</v>
          </cell>
          <cell r="AF43">
            <v>1028786</v>
          </cell>
          <cell r="AG43">
            <v>1163549</v>
          </cell>
          <cell r="AH43">
            <v>1287532</v>
          </cell>
          <cell r="AI43">
            <v>1431238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305124</v>
          </cell>
          <cell r="F45">
            <v>668849</v>
          </cell>
          <cell r="G45">
            <v>1001129</v>
          </cell>
          <cell r="H45">
            <v>1248746</v>
          </cell>
          <cell r="I45">
            <v>1453250</v>
          </cell>
          <cell r="J45">
            <v>1642224</v>
          </cell>
          <cell r="K45">
            <v>1796307</v>
          </cell>
          <cell r="L45">
            <v>1967936</v>
          </cell>
          <cell r="M45">
            <v>2154907</v>
          </cell>
          <cell r="N45">
            <v>2359806</v>
          </cell>
          <cell r="O45">
            <v>2593402</v>
          </cell>
          <cell r="P45">
            <v>2921963</v>
          </cell>
          <cell r="T45">
            <v>42</v>
          </cell>
          <cell r="U45" t="str">
            <v>Total Volume</v>
          </cell>
          <cell r="V45"/>
          <cell r="W45"/>
          <cell r="X45">
            <v>356047</v>
          </cell>
          <cell r="Y45">
            <v>756585</v>
          </cell>
          <cell r="Z45">
            <v>1147865</v>
          </cell>
          <cell r="AA45">
            <v>1415845</v>
          </cell>
          <cell r="AB45">
            <v>1588685</v>
          </cell>
          <cell r="AC45">
            <v>1741168</v>
          </cell>
          <cell r="AD45">
            <v>1882224</v>
          </cell>
          <cell r="AE45">
            <v>2023297</v>
          </cell>
          <cell r="AF45">
            <v>2187965</v>
          </cell>
          <cell r="AG45">
            <v>2384088</v>
          </cell>
          <cell r="AH45">
            <v>2590721</v>
          </cell>
          <cell r="AI45">
            <v>2853583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73446</v>
          </cell>
          <cell r="F48">
            <v>179495</v>
          </cell>
          <cell r="G48">
            <v>267108</v>
          </cell>
          <cell r="H48">
            <v>316986</v>
          </cell>
          <cell r="I48">
            <v>348883</v>
          </cell>
          <cell r="J48">
            <v>364824</v>
          </cell>
          <cell r="K48">
            <v>374183</v>
          </cell>
          <cell r="L48">
            <v>382620</v>
          </cell>
          <cell r="M48">
            <v>391742</v>
          </cell>
          <cell r="N48">
            <v>403114</v>
          </cell>
          <cell r="O48">
            <v>432629</v>
          </cell>
          <cell r="P48">
            <v>503128</v>
          </cell>
          <cell r="T48">
            <v>45</v>
          </cell>
          <cell r="U48" t="str">
            <v>Residential</v>
          </cell>
          <cell r="W48"/>
          <cell r="X48">
            <v>108244</v>
          </cell>
          <cell r="Y48">
            <v>238931</v>
          </cell>
          <cell r="Z48">
            <v>370637</v>
          </cell>
          <cell r="AA48">
            <v>436850</v>
          </cell>
          <cell r="AB48">
            <v>462068</v>
          </cell>
          <cell r="AC48">
            <v>473683</v>
          </cell>
          <cell r="AD48">
            <v>483438</v>
          </cell>
          <cell r="AE48">
            <v>492464</v>
          </cell>
          <cell r="AF48">
            <v>501486</v>
          </cell>
          <cell r="AG48">
            <v>516424</v>
          </cell>
          <cell r="AH48">
            <v>546641</v>
          </cell>
          <cell r="AI48">
            <v>594584</v>
          </cell>
        </row>
        <row r="49">
          <cell r="A49">
            <v>46</v>
          </cell>
          <cell r="B49" t="str">
            <v>Commercial</v>
          </cell>
          <cell r="D49"/>
          <cell r="E49">
            <v>101078</v>
          </cell>
          <cell r="F49">
            <v>233814</v>
          </cell>
          <cell r="G49">
            <v>346103</v>
          </cell>
          <cell r="H49">
            <v>419664</v>
          </cell>
          <cell r="I49">
            <v>477300</v>
          </cell>
          <cell r="J49">
            <v>520150</v>
          </cell>
          <cell r="K49">
            <v>554862</v>
          </cell>
          <cell r="L49">
            <v>589253</v>
          </cell>
          <cell r="M49">
            <v>628307</v>
          </cell>
          <cell r="N49">
            <v>675135</v>
          </cell>
          <cell r="O49">
            <v>739673</v>
          </cell>
          <cell r="P49">
            <v>848993</v>
          </cell>
          <cell r="T49">
            <v>46</v>
          </cell>
          <cell r="U49" t="str">
            <v>Commercial</v>
          </cell>
          <cell r="W49"/>
          <cell r="X49">
            <v>138069</v>
          </cell>
          <cell r="Y49">
            <v>302763</v>
          </cell>
          <cell r="Z49">
            <v>452482</v>
          </cell>
          <cell r="AA49">
            <v>542863</v>
          </cell>
          <cell r="AB49">
            <v>591053</v>
          </cell>
          <cell r="AC49">
            <v>627162</v>
          </cell>
          <cell r="AD49">
            <v>661849</v>
          </cell>
          <cell r="AE49">
            <v>694167</v>
          </cell>
          <cell r="AF49">
            <v>729260</v>
          </cell>
          <cell r="AG49">
            <v>779334</v>
          </cell>
          <cell r="AH49">
            <v>836275</v>
          </cell>
          <cell r="AI49">
            <v>914074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148788</v>
          </cell>
          <cell r="F50">
            <v>294541</v>
          </cell>
          <cell r="G50">
            <v>444876</v>
          </cell>
          <cell r="H50">
            <v>582905</v>
          </cell>
          <cell r="I50">
            <v>708352</v>
          </cell>
          <cell r="J50">
            <v>848376</v>
          </cell>
          <cell r="K50">
            <v>967117</v>
          </cell>
          <cell r="L50">
            <v>1105458</v>
          </cell>
          <cell r="M50">
            <v>1254391</v>
          </cell>
          <cell r="N50">
            <v>1411874</v>
          </cell>
          <cell r="O50">
            <v>1563625</v>
          </cell>
          <cell r="P50">
            <v>1729630</v>
          </cell>
          <cell r="T50">
            <v>47</v>
          </cell>
          <cell r="U50" t="str">
            <v xml:space="preserve">Industrial </v>
          </cell>
          <cell r="W50"/>
          <cell r="X50">
            <v>131755</v>
          </cell>
          <cell r="Y50">
            <v>262710</v>
          </cell>
          <cell r="Z50">
            <v>397439</v>
          </cell>
          <cell r="AA50">
            <v>524486</v>
          </cell>
          <cell r="AB50">
            <v>634095</v>
          </cell>
          <cell r="AC50">
            <v>748465</v>
          </cell>
          <cell r="AD50">
            <v>853311</v>
          </cell>
          <cell r="AE50">
            <v>961018</v>
          </cell>
          <cell r="AF50">
            <v>1090640</v>
          </cell>
          <cell r="AG50">
            <v>1233425</v>
          </cell>
          <cell r="AH50">
            <v>1364170</v>
          </cell>
          <cell r="AI50">
            <v>1515820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323312</v>
          </cell>
          <cell r="F52">
            <v>707850</v>
          </cell>
          <cell r="G52">
            <v>1058087</v>
          </cell>
          <cell r="H52">
            <v>1319555</v>
          </cell>
          <cell r="I52">
            <v>1534535</v>
          </cell>
          <cell r="J52">
            <v>1733350</v>
          </cell>
          <cell r="K52">
            <v>1896162</v>
          </cell>
          <cell r="L52">
            <v>2077331</v>
          </cell>
          <cell r="M52">
            <v>2274440</v>
          </cell>
          <cell r="N52">
            <v>2490123</v>
          </cell>
          <cell r="O52">
            <v>2735927</v>
          </cell>
          <cell r="P52">
            <v>3081751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378068</v>
          </cell>
          <cell r="Y52">
            <v>804404</v>
          </cell>
          <cell r="Z52">
            <v>1220558</v>
          </cell>
          <cell r="AA52">
            <v>1504199</v>
          </cell>
          <cell r="AB52">
            <v>1687216</v>
          </cell>
          <cell r="AC52">
            <v>1849310</v>
          </cell>
          <cell r="AD52">
            <v>1998598</v>
          </cell>
          <cell r="AE52">
            <v>2147649</v>
          </cell>
          <cell r="AF52">
            <v>2321386</v>
          </cell>
          <cell r="AG52">
            <v>2529183</v>
          </cell>
          <cell r="AH52">
            <v>2747086</v>
          </cell>
          <cell r="AI52">
            <v>3024478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13274</v>
          </cell>
          <cell r="F55">
            <v>13277</v>
          </cell>
          <cell r="G55">
            <v>13278</v>
          </cell>
          <cell r="H55">
            <v>13272</v>
          </cell>
          <cell r="I55">
            <v>13225</v>
          </cell>
          <cell r="J55">
            <v>13118</v>
          </cell>
          <cell r="K55">
            <v>13037</v>
          </cell>
          <cell r="L55">
            <v>12976</v>
          </cell>
          <cell r="M55">
            <v>12928</v>
          </cell>
          <cell r="N55">
            <v>12900</v>
          </cell>
          <cell r="O55">
            <v>12911</v>
          </cell>
          <cell r="P55">
            <v>12953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349557</v>
          </cell>
          <cell r="F56">
            <v>725412</v>
          </cell>
          <cell r="G56">
            <v>1065873</v>
          </cell>
          <cell r="H56">
            <v>1332077</v>
          </cell>
          <cell r="I56">
            <v>1515376</v>
          </cell>
          <cell r="J56">
            <v>1673221</v>
          </cell>
          <cell r="K56">
            <v>1830143</v>
          </cell>
          <cell r="L56">
            <v>1975025</v>
          </cell>
          <cell r="M56">
            <v>2141361</v>
          </cell>
          <cell r="N56">
            <v>2341478</v>
          </cell>
          <cell r="O56">
            <v>2569643</v>
          </cell>
          <cell r="P56">
            <v>2895242</v>
          </cell>
        </row>
        <row r="57">
          <cell r="A57">
            <v>54</v>
          </cell>
          <cell r="B57" t="str">
            <v>Cumulative YTD Budget Volume (Dts) * 1.035</v>
          </cell>
          <cell r="E57">
            <v>361791.495</v>
          </cell>
          <cell r="F57">
            <v>750801.41999999993</v>
          </cell>
          <cell r="G57">
            <v>1103178.5549999999</v>
          </cell>
          <cell r="H57">
            <v>1378699.6949999998</v>
          </cell>
          <cell r="I57">
            <v>1568414.16</v>
          </cell>
          <cell r="J57">
            <v>1731783.7349999999</v>
          </cell>
          <cell r="K57">
            <v>1894198.0049999999</v>
          </cell>
          <cell r="L57">
            <v>2044150.875</v>
          </cell>
          <cell r="M57">
            <v>2216308.6349999998</v>
          </cell>
          <cell r="N57">
            <v>2423429.7299999995</v>
          </cell>
          <cell r="O57">
            <v>2659580.5049999994</v>
          </cell>
          <cell r="P57">
            <v>2996575.4699999993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15340.166666666666</v>
          </cell>
          <cell r="E5">
            <v>15167</v>
          </cell>
          <cell r="F5">
            <v>15242</v>
          </cell>
          <cell r="G5">
            <v>15317</v>
          </cell>
          <cell r="H5">
            <v>15377</v>
          </cell>
          <cell r="I5">
            <v>15338</v>
          </cell>
          <cell r="J5">
            <v>15270</v>
          </cell>
          <cell r="K5">
            <v>15270</v>
          </cell>
          <cell r="L5">
            <v>15406</v>
          </cell>
          <cell r="M5">
            <v>15336</v>
          </cell>
          <cell r="N5">
            <v>15377</v>
          </cell>
          <cell r="O5">
            <v>15435</v>
          </cell>
          <cell r="P5">
            <v>15547</v>
          </cell>
          <cell r="T5">
            <v>2</v>
          </cell>
          <cell r="U5" t="str">
            <v>Residential</v>
          </cell>
          <cell r="V5">
            <v>14854</v>
          </cell>
          <cell r="W5">
            <v>178247</v>
          </cell>
          <cell r="X5">
            <v>14722</v>
          </cell>
          <cell r="Y5">
            <v>14793</v>
          </cell>
          <cell r="Z5">
            <v>14867</v>
          </cell>
          <cell r="AA5">
            <v>14917</v>
          </cell>
          <cell r="AB5">
            <v>14834</v>
          </cell>
          <cell r="AC5">
            <v>14749</v>
          </cell>
          <cell r="AD5">
            <v>14777</v>
          </cell>
          <cell r="AE5">
            <v>14791</v>
          </cell>
          <cell r="AF5">
            <v>14799</v>
          </cell>
          <cell r="AG5">
            <v>14918</v>
          </cell>
          <cell r="AH5">
            <v>14987</v>
          </cell>
          <cell r="AI5">
            <v>15093</v>
          </cell>
        </row>
        <row r="6">
          <cell r="A6">
            <v>3</v>
          </cell>
          <cell r="B6" t="str">
            <v>Commercial</v>
          </cell>
          <cell r="C6"/>
          <cell r="D6">
            <v>1393.4166666666667</v>
          </cell>
          <cell r="E6">
            <v>1381</v>
          </cell>
          <cell r="F6">
            <v>1377</v>
          </cell>
          <cell r="G6">
            <v>1377</v>
          </cell>
          <cell r="H6">
            <v>1381</v>
          </cell>
          <cell r="I6">
            <v>1388</v>
          </cell>
          <cell r="J6">
            <v>1394</v>
          </cell>
          <cell r="K6">
            <v>1389</v>
          </cell>
          <cell r="L6">
            <v>1434</v>
          </cell>
          <cell r="M6">
            <v>1402</v>
          </cell>
          <cell r="N6">
            <v>1398</v>
          </cell>
          <cell r="O6">
            <v>1399</v>
          </cell>
          <cell r="P6">
            <v>1401</v>
          </cell>
          <cell r="T6">
            <v>3</v>
          </cell>
          <cell r="U6" t="str">
            <v>Commercial</v>
          </cell>
          <cell r="V6">
            <v>1360</v>
          </cell>
          <cell r="W6">
            <v>16323</v>
          </cell>
          <cell r="X6">
            <v>1355</v>
          </cell>
          <cell r="Y6">
            <v>1353</v>
          </cell>
          <cell r="Z6">
            <v>1355</v>
          </cell>
          <cell r="AA6">
            <v>1352</v>
          </cell>
          <cell r="AB6">
            <v>1353</v>
          </cell>
          <cell r="AC6">
            <v>1325</v>
          </cell>
          <cell r="AD6">
            <v>1353</v>
          </cell>
          <cell r="AE6">
            <v>1354</v>
          </cell>
          <cell r="AF6">
            <v>1359</v>
          </cell>
          <cell r="AG6">
            <v>1383</v>
          </cell>
          <cell r="AH6">
            <v>1386</v>
          </cell>
          <cell r="AI6">
            <v>1395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72.5</v>
          </cell>
          <cell r="E7">
            <v>72</v>
          </cell>
          <cell r="F7">
            <v>71</v>
          </cell>
          <cell r="G7">
            <v>72</v>
          </cell>
          <cell r="H7">
            <v>72</v>
          </cell>
          <cell r="I7">
            <v>71</v>
          </cell>
          <cell r="J7">
            <v>72</v>
          </cell>
          <cell r="K7">
            <v>72</v>
          </cell>
          <cell r="L7">
            <v>77</v>
          </cell>
          <cell r="M7">
            <v>72</v>
          </cell>
          <cell r="N7">
            <v>71</v>
          </cell>
          <cell r="O7">
            <v>72</v>
          </cell>
          <cell r="P7">
            <v>76</v>
          </cell>
          <cell r="T7">
            <v>4</v>
          </cell>
          <cell r="U7" t="str">
            <v xml:space="preserve">Industrial </v>
          </cell>
          <cell r="V7">
            <v>69</v>
          </cell>
          <cell r="W7">
            <v>831</v>
          </cell>
          <cell r="X7">
            <v>67</v>
          </cell>
          <cell r="Y7">
            <v>66</v>
          </cell>
          <cell r="Z7">
            <v>67</v>
          </cell>
          <cell r="AA7">
            <v>65</v>
          </cell>
          <cell r="AB7">
            <v>69</v>
          </cell>
          <cell r="AC7">
            <v>67</v>
          </cell>
          <cell r="AD7">
            <v>67</v>
          </cell>
          <cell r="AE7">
            <v>70</v>
          </cell>
          <cell r="AF7">
            <v>71</v>
          </cell>
          <cell r="AG7">
            <v>77</v>
          </cell>
          <cell r="AH7">
            <v>74</v>
          </cell>
          <cell r="AI7">
            <v>71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16806.083333333332</v>
          </cell>
          <cell r="E9">
            <v>16620</v>
          </cell>
          <cell r="F9">
            <v>16690</v>
          </cell>
          <cell r="G9">
            <v>16766</v>
          </cell>
          <cell r="H9">
            <v>16830</v>
          </cell>
          <cell r="I9">
            <v>16797</v>
          </cell>
          <cell r="J9">
            <v>16736</v>
          </cell>
          <cell r="K9">
            <v>16731</v>
          </cell>
          <cell r="L9">
            <v>16917</v>
          </cell>
          <cell r="M9">
            <v>16810</v>
          </cell>
          <cell r="N9">
            <v>16846</v>
          </cell>
          <cell r="O9">
            <v>16906</v>
          </cell>
          <cell r="P9">
            <v>17024</v>
          </cell>
          <cell r="T9">
            <v>6</v>
          </cell>
          <cell r="U9" t="str">
            <v>Total customers</v>
          </cell>
          <cell r="V9">
            <v>16283</v>
          </cell>
          <cell r="W9">
            <v>195401</v>
          </cell>
          <cell r="X9">
            <v>16144</v>
          </cell>
          <cell r="Y9">
            <v>16212</v>
          </cell>
          <cell r="Z9">
            <v>16289</v>
          </cell>
          <cell r="AA9">
            <v>16334</v>
          </cell>
          <cell r="AB9">
            <v>16256</v>
          </cell>
          <cell r="AC9">
            <v>16141</v>
          </cell>
          <cell r="AD9">
            <v>16197</v>
          </cell>
          <cell r="AE9">
            <v>16215</v>
          </cell>
          <cell r="AF9">
            <v>16229</v>
          </cell>
          <cell r="AG9">
            <v>16378</v>
          </cell>
          <cell r="AH9">
            <v>16447</v>
          </cell>
          <cell r="AI9">
            <v>16559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333977.77583016874</v>
          </cell>
          <cell r="E12">
            <v>44786.63940013633</v>
          </cell>
          <cell r="F12">
            <v>48583.01684682053</v>
          </cell>
          <cell r="G12">
            <v>41474.924530139251</v>
          </cell>
          <cell r="H12">
            <v>33215.989872431586</v>
          </cell>
          <cell r="I12">
            <v>21696.854610965042</v>
          </cell>
          <cell r="J12">
            <v>17788.100107118513</v>
          </cell>
          <cell r="K12">
            <v>15159.801343850424</v>
          </cell>
          <cell r="L12">
            <v>14602.103418054337</v>
          </cell>
          <cell r="M12">
            <v>16272.957444736585</v>
          </cell>
          <cell r="N12">
            <v>19910.291167592073</v>
          </cell>
          <cell r="O12">
            <v>26910.994254552537</v>
          </cell>
          <cell r="P12">
            <v>33576.102833771547</v>
          </cell>
          <cell r="T12">
            <v>9</v>
          </cell>
          <cell r="U12" t="str">
            <v>Residential</v>
          </cell>
          <cell r="W12">
            <v>318645.11709806212</v>
          </cell>
          <cell r="X12">
            <v>43486.8</v>
          </cell>
          <cell r="Y12">
            <v>55519.62</v>
          </cell>
          <cell r="Z12">
            <v>38026.758204304249</v>
          </cell>
          <cell r="AA12">
            <v>30865.13</v>
          </cell>
          <cell r="AB12">
            <v>18049.37</v>
          </cell>
          <cell r="AC12">
            <v>15426.915960658293</v>
          </cell>
          <cell r="AD12">
            <v>15689.551076054144</v>
          </cell>
          <cell r="AE12">
            <v>16261.174408413672</v>
          </cell>
          <cell r="AF12">
            <v>15259.518940500535</v>
          </cell>
          <cell r="AG12">
            <v>17805.044308111792</v>
          </cell>
          <cell r="AH12">
            <v>21867.075664621676</v>
          </cell>
          <cell r="AI12">
            <v>30388.158535397797</v>
          </cell>
        </row>
        <row r="13">
          <cell r="A13">
            <v>10</v>
          </cell>
          <cell r="B13" t="str">
            <v>Commercial</v>
          </cell>
          <cell r="D13">
            <v>5901711.5220566764</v>
          </cell>
          <cell r="E13">
            <v>477194.66355049179</v>
          </cell>
          <cell r="F13">
            <v>459042.06836108677</v>
          </cell>
          <cell r="G13">
            <v>473586.13302171585</v>
          </cell>
          <cell r="H13">
            <v>468207.22563053848</v>
          </cell>
          <cell r="I13">
            <v>437356.60726458271</v>
          </cell>
          <cell r="J13">
            <v>415324.86123283667</v>
          </cell>
          <cell r="K13">
            <v>404361.76842925308</v>
          </cell>
          <cell r="L13">
            <v>442360.21034180542</v>
          </cell>
          <cell r="M13">
            <v>432821.50160677766</v>
          </cell>
          <cell r="N13">
            <v>450033.36449508229</v>
          </cell>
          <cell r="O13">
            <v>467871.84730743011</v>
          </cell>
          <cell r="P13">
            <v>973551.27081507444</v>
          </cell>
          <cell r="T13">
            <v>10</v>
          </cell>
          <cell r="U13" t="str">
            <v>Commercial</v>
          </cell>
          <cell r="W13">
            <v>5274821.3954163007</v>
          </cell>
          <cell r="X13">
            <v>461002.04</v>
          </cell>
          <cell r="Y13">
            <v>449692.76</v>
          </cell>
          <cell r="Z13">
            <v>443954.23</v>
          </cell>
          <cell r="AA13">
            <v>460692.86</v>
          </cell>
          <cell r="AB13">
            <v>444848.48</v>
          </cell>
          <cell r="AC13">
            <v>431929.59392345895</v>
          </cell>
          <cell r="AD13">
            <v>433293.79686434899</v>
          </cell>
          <cell r="AE13">
            <v>406641.0556042458</v>
          </cell>
          <cell r="AF13">
            <v>430907.29379686434</v>
          </cell>
          <cell r="AG13">
            <v>452550.39439088519</v>
          </cell>
          <cell r="AH13">
            <v>419030.28532476386</v>
          </cell>
          <cell r="AI13">
            <v>440278.60551173432</v>
          </cell>
        </row>
        <row r="14">
          <cell r="A14">
            <v>11</v>
          </cell>
          <cell r="B14" t="str">
            <v xml:space="preserve">Industrial </v>
          </cell>
          <cell r="D14">
            <v>10717532.314369461</v>
          </cell>
          <cell r="E14">
            <v>1095256.6949070017</v>
          </cell>
          <cell r="F14">
            <v>994717.79141104291</v>
          </cell>
          <cell r="G14">
            <v>1117554.6791313663</v>
          </cell>
          <cell r="H14">
            <v>957915.76589736098</v>
          </cell>
          <cell r="I14">
            <v>1031289.0252215406</v>
          </cell>
          <cell r="J14">
            <v>735340.44210731331</v>
          </cell>
          <cell r="K14">
            <v>700236.63453111309</v>
          </cell>
          <cell r="L14">
            <v>892407.05034570058</v>
          </cell>
          <cell r="M14">
            <v>660522.05667543085</v>
          </cell>
          <cell r="N14">
            <v>1023739.54</v>
          </cell>
          <cell r="O14">
            <v>890485.44162041089</v>
          </cell>
          <cell r="P14">
            <v>618067.19252118026</v>
          </cell>
          <cell r="T14">
            <v>11</v>
          </cell>
          <cell r="U14" t="str">
            <v xml:space="preserve">Industrial </v>
          </cell>
          <cell r="W14">
            <v>10714720.026967572</v>
          </cell>
          <cell r="X14">
            <v>856208.39</v>
          </cell>
          <cell r="Y14">
            <v>943253.87</v>
          </cell>
          <cell r="Z14">
            <v>962052</v>
          </cell>
          <cell r="AA14">
            <v>590945.76</v>
          </cell>
          <cell r="AB14">
            <v>1268224.95</v>
          </cell>
          <cell r="AC14">
            <v>914274.32077125332</v>
          </cell>
          <cell r="AD14">
            <v>1132266.7250949459</v>
          </cell>
          <cell r="AE14">
            <v>663005.4533060668</v>
          </cell>
          <cell r="AF14">
            <v>643011.97779725387</v>
          </cell>
          <cell r="AG14">
            <v>788107.21589249198</v>
          </cell>
          <cell r="AH14">
            <v>816880.1246469958</v>
          </cell>
          <cell r="AI14">
            <v>1136489.2394585647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16953221.612256303</v>
          </cell>
          <cell r="E16">
            <v>1617237.9978576298</v>
          </cell>
          <cell r="F16">
            <v>1502342.8766189502</v>
          </cell>
          <cell r="G16">
            <v>1632615.7366832215</v>
          </cell>
          <cell r="H16">
            <v>1459338.981400331</v>
          </cell>
          <cell r="I16">
            <v>1490342.4870970882</v>
          </cell>
          <cell r="J16">
            <v>1168453.4034472685</v>
          </cell>
          <cell r="K16">
            <v>1119758.2043042167</v>
          </cell>
          <cell r="L16">
            <v>1349369.3641055604</v>
          </cell>
          <cell r="M16">
            <v>1109616.5157269451</v>
          </cell>
          <cell r="N16">
            <v>1493683.1956626745</v>
          </cell>
          <cell r="O16">
            <v>1385268.2831823935</v>
          </cell>
          <cell r="P16">
            <v>1625194.5661700261</v>
          </cell>
          <cell r="T16">
            <v>13</v>
          </cell>
          <cell r="U16" t="str">
            <v>Total Deliveries</v>
          </cell>
          <cell r="V16"/>
          <cell r="W16">
            <v>16308186.539481934</v>
          </cell>
          <cell r="X16">
            <v>1360697.23</v>
          </cell>
          <cell r="Y16">
            <v>1448466.25</v>
          </cell>
          <cell r="Z16">
            <v>1444032.9882043041</v>
          </cell>
          <cell r="AA16">
            <v>1082503.75</v>
          </cell>
          <cell r="AB16">
            <v>1731122.7999999998</v>
          </cell>
          <cell r="AC16">
            <v>1361630.8306553706</v>
          </cell>
          <cell r="AD16">
            <v>1581250.0730353491</v>
          </cell>
          <cell r="AE16">
            <v>1085907.6833187263</v>
          </cell>
          <cell r="AF16">
            <v>1089178.7905346188</v>
          </cell>
          <cell r="AG16">
            <v>1258462.6545914889</v>
          </cell>
          <cell r="AH16">
            <v>1257777.4856363814</v>
          </cell>
          <cell r="AI16">
            <v>1607156.0035056968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342964</v>
          </cell>
          <cell r="E21">
            <v>45991</v>
          </cell>
          <cell r="F21">
            <v>49890</v>
          </cell>
          <cell r="G21">
            <v>42591</v>
          </cell>
          <cell r="H21">
            <v>34110</v>
          </cell>
          <cell r="I21">
            <v>22281</v>
          </cell>
          <cell r="J21">
            <v>18267</v>
          </cell>
          <cell r="K21">
            <v>15568</v>
          </cell>
          <cell r="L21">
            <v>14995</v>
          </cell>
          <cell r="M21">
            <v>16711</v>
          </cell>
          <cell r="N21">
            <v>20446</v>
          </cell>
          <cell r="O21">
            <v>27635</v>
          </cell>
          <cell r="P21">
            <v>34479</v>
          </cell>
          <cell r="T21">
            <v>18</v>
          </cell>
          <cell r="U21" t="str">
            <v>Residential</v>
          </cell>
          <cell r="W21">
            <v>327218</v>
          </cell>
          <cell r="X21">
            <v>44657</v>
          </cell>
          <cell r="Y21">
            <v>57013</v>
          </cell>
          <cell r="Z21">
            <v>39050</v>
          </cell>
          <cell r="AA21">
            <v>31695</v>
          </cell>
          <cell r="AB21">
            <v>18535</v>
          </cell>
          <cell r="AC21">
            <v>15842</v>
          </cell>
          <cell r="AD21">
            <v>16112</v>
          </cell>
          <cell r="AE21">
            <v>16699</v>
          </cell>
          <cell r="AF21">
            <v>15670</v>
          </cell>
          <cell r="AG21">
            <v>18284</v>
          </cell>
          <cell r="AH21">
            <v>22455</v>
          </cell>
          <cell r="AI21">
            <v>31206</v>
          </cell>
        </row>
        <row r="22">
          <cell r="A22">
            <v>19</v>
          </cell>
          <cell r="B22" t="str">
            <v>Commercial</v>
          </cell>
          <cell r="D22">
            <v>6060468</v>
          </cell>
          <cell r="E22">
            <v>490031</v>
          </cell>
          <cell r="F22">
            <v>471390</v>
          </cell>
          <cell r="G22">
            <v>486326</v>
          </cell>
          <cell r="H22">
            <v>480802</v>
          </cell>
          <cell r="I22">
            <v>449122</v>
          </cell>
          <cell r="J22">
            <v>426497</v>
          </cell>
          <cell r="K22">
            <v>415239</v>
          </cell>
          <cell r="L22">
            <v>454260</v>
          </cell>
          <cell r="M22">
            <v>444464</v>
          </cell>
          <cell r="N22">
            <v>462139</v>
          </cell>
          <cell r="O22">
            <v>480458</v>
          </cell>
          <cell r="P22">
            <v>999740</v>
          </cell>
          <cell r="T22">
            <v>19</v>
          </cell>
          <cell r="U22" t="str">
            <v>Commercial</v>
          </cell>
          <cell r="W22">
            <v>5416714</v>
          </cell>
          <cell r="X22">
            <v>473403</v>
          </cell>
          <cell r="Y22">
            <v>461789</v>
          </cell>
          <cell r="Z22">
            <v>455897</v>
          </cell>
          <cell r="AA22">
            <v>473085</v>
          </cell>
          <cell r="AB22">
            <v>456815</v>
          </cell>
          <cell r="AC22">
            <v>443549</v>
          </cell>
          <cell r="AD22">
            <v>444949</v>
          </cell>
          <cell r="AE22">
            <v>417580</v>
          </cell>
          <cell r="AF22">
            <v>442499</v>
          </cell>
          <cell r="AG22">
            <v>464724</v>
          </cell>
          <cell r="AH22">
            <v>430302</v>
          </cell>
          <cell r="AI22">
            <v>452122</v>
          </cell>
        </row>
        <row r="23">
          <cell r="A23">
            <v>20</v>
          </cell>
          <cell r="B23" t="str">
            <v xml:space="preserve">Industrial </v>
          </cell>
          <cell r="D23">
            <v>11005835</v>
          </cell>
          <cell r="E23">
            <v>1124719</v>
          </cell>
          <cell r="F23">
            <v>1021476</v>
          </cell>
          <cell r="G23">
            <v>1147617</v>
          </cell>
          <cell r="H23">
            <v>983684</v>
          </cell>
          <cell r="I23">
            <v>1059031</v>
          </cell>
          <cell r="J23">
            <v>755121</v>
          </cell>
          <cell r="K23">
            <v>719073</v>
          </cell>
          <cell r="L23">
            <v>916413</v>
          </cell>
          <cell r="M23">
            <v>678290</v>
          </cell>
          <cell r="N23">
            <v>1051278</v>
          </cell>
          <cell r="O23">
            <v>914440</v>
          </cell>
          <cell r="P23">
            <v>634693</v>
          </cell>
          <cell r="T23">
            <v>20</v>
          </cell>
          <cell r="U23" t="str">
            <v xml:space="preserve">Industrial </v>
          </cell>
          <cell r="W23">
            <v>11002944</v>
          </cell>
          <cell r="X23">
            <v>879240</v>
          </cell>
          <cell r="Y23">
            <v>968627</v>
          </cell>
          <cell r="Z23">
            <v>987931</v>
          </cell>
          <cell r="AA23">
            <v>606842</v>
          </cell>
          <cell r="AB23">
            <v>1302340</v>
          </cell>
          <cell r="AC23">
            <v>938868</v>
          </cell>
          <cell r="AD23">
            <v>1162725</v>
          </cell>
          <cell r="AE23">
            <v>680840</v>
          </cell>
          <cell r="AF23">
            <v>660309</v>
          </cell>
          <cell r="AG23">
            <v>809307</v>
          </cell>
          <cell r="AH23">
            <v>838854</v>
          </cell>
          <cell r="AI23">
            <v>1167061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17409267</v>
          </cell>
          <cell r="E25">
            <v>1660741</v>
          </cell>
          <cell r="F25">
            <v>1542756</v>
          </cell>
          <cell r="G25">
            <v>1676534</v>
          </cell>
          <cell r="H25">
            <v>1498596</v>
          </cell>
          <cell r="I25">
            <v>1530434</v>
          </cell>
          <cell r="J25">
            <v>1199885</v>
          </cell>
          <cell r="K25">
            <v>1149880</v>
          </cell>
          <cell r="L25">
            <v>1385668</v>
          </cell>
          <cell r="M25">
            <v>1139465</v>
          </cell>
          <cell r="N25">
            <v>1533863</v>
          </cell>
          <cell r="O25">
            <v>1422533</v>
          </cell>
          <cell r="P25">
            <v>1668912</v>
          </cell>
          <cell r="T25">
            <v>22</v>
          </cell>
          <cell r="U25" t="str">
            <v>Total Deliveries</v>
          </cell>
          <cell r="V25"/>
          <cell r="W25">
            <v>16746876</v>
          </cell>
          <cell r="X25">
            <v>1397300</v>
          </cell>
          <cell r="Y25">
            <v>1487429</v>
          </cell>
          <cell r="Z25">
            <v>1482878</v>
          </cell>
          <cell r="AA25">
            <v>1111622</v>
          </cell>
          <cell r="AB25">
            <v>1777690</v>
          </cell>
          <cell r="AC25">
            <v>1398259</v>
          </cell>
          <cell r="AD25">
            <v>1623786</v>
          </cell>
          <cell r="AE25">
            <v>1115119</v>
          </cell>
          <cell r="AF25">
            <v>1118478</v>
          </cell>
          <cell r="AG25">
            <v>1292315</v>
          </cell>
          <cell r="AH25">
            <v>1291611</v>
          </cell>
          <cell r="AI25">
            <v>1650389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16484</v>
          </cell>
          <cell r="F28">
            <v>16562</v>
          </cell>
          <cell r="G28">
            <v>16648</v>
          </cell>
          <cell r="H28">
            <v>16704</v>
          </cell>
          <cell r="I28">
            <v>16595</v>
          </cell>
          <cell r="J28">
            <v>16550</v>
          </cell>
          <cell r="K28">
            <v>16570</v>
          </cell>
          <cell r="L28">
            <v>16592</v>
          </cell>
          <cell r="M28">
            <v>16594</v>
          </cell>
          <cell r="N28">
            <v>16642</v>
          </cell>
          <cell r="O28">
            <v>16733</v>
          </cell>
          <cell r="P28">
            <v>16838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1531610.1859966891</v>
          </cell>
          <cell r="F29">
            <v>1502342.9739994158</v>
          </cell>
          <cell r="G29">
            <v>1435807.9657220761</v>
          </cell>
          <cell r="H29">
            <v>1342472.5873989677</v>
          </cell>
          <cell r="I29">
            <v>1564311.2279676697</v>
          </cell>
          <cell r="J29">
            <v>1230608.0436264486</v>
          </cell>
          <cell r="K29">
            <v>1131105.0735222513</v>
          </cell>
          <cell r="L29">
            <v>1193354.7570357386</v>
          </cell>
          <cell r="M29">
            <v>932745.62664329528</v>
          </cell>
          <cell r="N29">
            <v>1065895.3452137501</v>
          </cell>
          <cell r="O29">
            <v>1146834.1250365176</v>
          </cell>
          <cell r="P29">
            <v>14957368.6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1572811</v>
          </cell>
          <cell r="F30">
            <v>1542756</v>
          </cell>
          <cell r="G30">
            <v>1474431</v>
          </cell>
          <cell r="H30">
            <v>1378585</v>
          </cell>
          <cell r="I30">
            <v>1606391</v>
          </cell>
          <cell r="J30">
            <v>1263711</v>
          </cell>
          <cell r="K30">
            <v>1161532</v>
          </cell>
          <cell r="L30">
            <v>1225456</v>
          </cell>
          <cell r="M30">
            <v>957836</v>
          </cell>
          <cell r="N30">
            <v>1094568</v>
          </cell>
          <cell r="O30">
            <v>1177684</v>
          </cell>
          <cell r="P30">
            <v>15359722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15167</v>
          </cell>
          <cell r="F34">
            <v>15205</v>
          </cell>
          <cell r="G34">
            <v>15242</v>
          </cell>
          <cell r="H34">
            <v>15276</v>
          </cell>
          <cell r="I34">
            <v>15288</v>
          </cell>
          <cell r="J34">
            <v>15285</v>
          </cell>
          <cell r="K34">
            <v>15283</v>
          </cell>
          <cell r="L34">
            <v>15298</v>
          </cell>
          <cell r="M34">
            <v>15303</v>
          </cell>
          <cell r="N34">
            <v>15310</v>
          </cell>
          <cell r="O34">
            <v>15321</v>
          </cell>
          <cell r="P34">
            <v>15340</v>
          </cell>
          <cell r="T34">
            <v>31</v>
          </cell>
          <cell r="U34" t="str">
            <v>Residential</v>
          </cell>
          <cell r="V34"/>
          <cell r="W34"/>
          <cell r="X34">
            <v>14722</v>
          </cell>
          <cell r="Y34">
            <v>14758</v>
          </cell>
          <cell r="Z34">
            <v>14794</v>
          </cell>
          <cell r="AA34">
            <v>14825</v>
          </cell>
          <cell r="AB34">
            <v>14827</v>
          </cell>
          <cell r="AC34">
            <v>14814</v>
          </cell>
          <cell r="AD34">
            <v>14808</v>
          </cell>
          <cell r="AE34">
            <v>14806</v>
          </cell>
          <cell r="AF34">
            <v>14805</v>
          </cell>
          <cell r="AG34">
            <v>14817</v>
          </cell>
          <cell r="AH34">
            <v>14832</v>
          </cell>
          <cell r="AI34">
            <v>14854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1381</v>
          </cell>
          <cell r="F35">
            <v>1379</v>
          </cell>
          <cell r="G35">
            <v>1378</v>
          </cell>
          <cell r="H35">
            <v>1379</v>
          </cell>
          <cell r="I35">
            <v>1381</v>
          </cell>
          <cell r="J35">
            <v>1383</v>
          </cell>
          <cell r="K35">
            <v>1384</v>
          </cell>
          <cell r="L35">
            <v>1390</v>
          </cell>
          <cell r="M35">
            <v>1391</v>
          </cell>
          <cell r="N35">
            <v>1392</v>
          </cell>
          <cell r="O35">
            <v>1393</v>
          </cell>
          <cell r="P35">
            <v>1393</v>
          </cell>
          <cell r="T35">
            <v>32</v>
          </cell>
          <cell r="U35" t="str">
            <v>Commercial</v>
          </cell>
          <cell r="V35"/>
          <cell r="W35"/>
          <cell r="X35">
            <v>1355</v>
          </cell>
          <cell r="Y35">
            <v>1354</v>
          </cell>
          <cell r="Z35">
            <v>1354</v>
          </cell>
          <cell r="AA35">
            <v>1354</v>
          </cell>
          <cell r="AB35">
            <v>1354</v>
          </cell>
          <cell r="AC35">
            <v>1349</v>
          </cell>
          <cell r="AD35">
            <v>1349</v>
          </cell>
          <cell r="AE35">
            <v>1350</v>
          </cell>
          <cell r="AF35">
            <v>1351</v>
          </cell>
          <cell r="AG35">
            <v>1354</v>
          </cell>
          <cell r="AH35">
            <v>1357</v>
          </cell>
          <cell r="AI35">
            <v>1360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72</v>
          </cell>
          <cell r="F36">
            <v>72</v>
          </cell>
          <cell r="G36">
            <v>72</v>
          </cell>
          <cell r="H36">
            <v>72</v>
          </cell>
          <cell r="I36">
            <v>72</v>
          </cell>
          <cell r="J36">
            <v>72</v>
          </cell>
          <cell r="K36">
            <v>72</v>
          </cell>
          <cell r="L36">
            <v>72</v>
          </cell>
          <cell r="M36">
            <v>72</v>
          </cell>
          <cell r="N36">
            <v>72</v>
          </cell>
          <cell r="O36">
            <v>72</v>
          </cell>
          <cell r="P36">
            <v>73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67</v>
          </cell>
          <cell r="Y36">
            <v>67</v>
          </cell>
          <cell r="Z36">
            <v>67</v>
          </cell>
          <cell r="AA36">
            <v>66</v>
          </cell>
          <cell r="AB36">
            <v>67</v>
          </cell>
          <cell r="AC36">
            <v>67</v>
          </cell>
          <cell r="AD36">
            <v>67</v>
          </cell>
          <cell r="AE36">
            <v>67</v>
          </cell>
          <cell r="AF36">
            <v>68</v>
          </cell>
          <cell r="AG36">
            <v>69</v>
          </cell>
          <cell r="AH36">
            <v>69</v>
          </cell>
          <cell r="AI36">
            <v>69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16620</v>
          </cell>
          <cell r="F38">
            <v>16656</v>
          </cell>
          <cell r="G38">
            <v>16692</v>
          </cell>
          <cell r="H38">
            <v>16727</v>
          </cell>
          <cell r="I38">
            <v>16741</v>
          </cell>
          <cell r="J38">
            <v>16740</v>
          </cell>
          <cell r="K38">
            <v>16739</v>
          </cell>
          <cell r="L38">
            <v>16760</v>
          </cell>
          <cell r="M38">
            <v>16766</v>
          </cell>
          <cell r="N38">
            <v>16774</v>
          </cell>
          <cell r="O38">
            <v>16786</v>
          </cell>
          <cell r="P38">
            <v>16806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16144</v>
          </cell>
          <cell r="Y38">
            <v>16179</v>
          </cell>
          <cell r="Z38">
            <v>16215</v>
          </cell>
          <cell r="AA38">
            <v>16245</v>
          </cell>
          <cell r="AB38">
            <v>16248</v>
          </cell>
          <cell r="AC38">
            <v>16230</v>
          </cell>
          <cell r="AD38">
            <v>16224</v>
          </cell>
          <cell r="AE38">
            <v>16223</v>
          </cell>
          <cell r="AF38">
            <v>16224</v>
          </cell>
          <cell r="AG38">
            <v>16240</v>
          </cell>
          <cell r="AH38">
            <v>16258</v>
          </cell>
          <cell r="AI38">
            <v>16283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44786.63940013633</v>
          </cell>
          <cell r="F41">
            <v>93369.65624695686</v>
          </cell>
          <cell r="G41">
            <v>134844.5807770961</v>
          </cell>
          <cell r="H41">
            <v>168060.57064952768</v>
          </cell>
          <cell r="I41">
            <v>189757.42526049272</v>
          </cell>
          <cell r="J41">
            <v>207545.52536761123</v>
          </cell>
          <cell r="K41">
            <v>222705.32671146165</v>
          </cell>
          <cell r="L41">
            <v>237307.430129516</v>
          </cell>
          <cell r="M41">
            <v>253580.38757425259</v>
          </cell>
          <cell r="N41">
            <v>273490.67874184466</v>
          </cell>
          <cell r="O41">
            <v>300401.67299639719</v>
          </cell>
          <cell r="P41">
            <v>333977.77583016874</v>
          </cell>
          <cell r="T41">
            <v>38</v>
          </cell>
          <cell r="U41" t="str">
            <v>Residential</v>
          </cell>
          <cell r="W41"/>
          <cell r="X41">
            <v>43486.8</v>
          </cell>
          <cell r="Y41">
            <v>99006.420000000013</v>
          </cell>
          <cell r="Z41">
            <v>137033.17820430425</v>
          </cell>
          <cell r="AA41">
            <v>167898.30820430425</v>
          </cell>
          <cell r="AB41">
            <v>185947.67820430425</v>
          </cell>
          <cell r="AC41">
            <v>201374.59416496253</v>
          </cell>
          <cell r="AD41">
            <v>217064.14524101667</v>
          </cell>
          <cell r="AE41">
            <v>233325.31964943034</v>
          </cell>
          <cell r="AF41">
            <v>248584.83858993088</v>
          </cell>
          <cell r="AG41">
            <v>266389.88289804268</v>
          </cell>
          <cell r="AH41">
            <v>288256.95856266434</v>
          </cell>
          <cell r="AI41">
            <v>318645.11709806212</v>
          </cell>
        </row>
        <row r="42">
          <cell r="A42">
            <v>39</v>
          </cell>
          <cell r="B42" t="str">
            <v>Commercial</v>
          </cell>
          <cell r="D42"/>
          <cell r="E42">
            <v>477194.66355049179</v>
          </cell>
          <cell r="F42">
            <v>936236.73191157856</v>
          </cell>
          <cell r="G42">
            <v>1409822.8649332945</v>
          </cell>
          <cell r="H42">
            <v>1878030.090563833</v>
          </cell>
          <cell r="I42">
            <v>2315386.6978284158</v>
          </cell>
          <cell r="J42">
            <v>2730711.5590612525</v>
          </cell>
          <cell r="K42">
            <v>3135073.3274905058</v>
          </cell>
          <cell r="L42">
            <v>3577433.5378323114</v>
          </cell>
          <cell r="M42">
            <v>4010255.0394390891</v>
          </cell>
          <cell r="N42">
            <v>4460288.4039341714</v>
          </cell>
          <cell r="O42">
            <v>4928160.251241602</v>
          </cell>
          <cell r="P42">
            <v>5901711.5220566764</v>
          </cell>
          <cell r="T42">
            <v>39</v>
          </cell>
          <cell r="U42" t="str">
            <v>Commercial</v>
          </cell>
          <cell r="W42"/>
          <cell r="X42">
            <v>461002.04</v>
          </cell>
          <cell r="Y42">
            <v>910694.8</v>
          </cell>
          <cell r="Z42">
            <v>1354649.03</v>
          </cell>
          <cell r="AA42">
            <v>1815341.8900000001</v>
          </cell>
          <cell r="AB42">
            <v>2260190.37</v>
          </cell>
          <cell r="AC42">
            <v>2692119.9639234589</v>
          </cell>
          <cell r="AD42">
            <v>3125413.7607878079</v>
          </cell>
          <cell r="AE42">
            <v>3532054.8163920538</v>
          </cell>
          <cell r="AF42">
            <v>3962962.1101889182</v>
          </cell>
          <cell r="AG42">
            <v>4415512.504579803</v>
          </cell>
          <cell r="AH42">
            <v>4834542.7899045665</v>
          </cell>
          <cell r="AI42">
            <v>5274821.3954163007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1095256.6949070017</v>
          </cell>
          <cell r="F43">
            <v>2089974.4863180446</v>
          </cell>
          <cell r="G43">
            <v>3207529.1654494107</v>
          </cell>
          <cell r="H43">
            <v>4165444.9313467718</v>
          </cell>
          <cell r="I43">
            <v>5196733.9565683119</v>
          </cell>
          <cell r="J43">
            <v>5932074.3986756252</v>
          </cell>
          <cell r="K43">
            <v>6632311.0332067385</v>
          </cell>
          <cell r="L43">
            <v>7524718.0835524388</v>
          </cell>
          <cell r="M43">
            <v>8185240.1402278692</v>
          </cell>
          <cell r="N43">
            <v>9208979.6802278683</v>
          </cell>
          <cell r="O43">
            <v>10099465.12184828</v>
          </cell>
          <cell r="P43">
            <v>10717532.314369461</v>
          </cell>
          <cell r="T43">
            <v>40</v>
          </cell>
          <cell r="U43" t="str">
            <v xml:space="preserve">Industrial </v>
          </cell>
          <cell r="W43"/>
          <cell r="X43">
            <v>856208.39</v>
          </cell>
          <cell r="Y43">
            <v>1799462.26</v>
          </cell>
          <cell r="Z43">
            <v>2761514.26</v>
          </cell>
          <cell r="AA43">
            <v>3352460.0199999996</v>
          </cell>
          <cell r="AB43">
            <v>4620684.97</v>
          </cell>
          <cell r="AC43">
            <v>5534959.2907712534</v>
          </cell>
          <cell r="AD43">
            <v>6667226.0158661995</v>
          </cell>
          <cell r="AE43">
            <v>7330231.4691722663</v>
          </cell>
          <cell r="AF43">
            <v>7973243.4469695203</v>
          </cell>
          <cell r="AG43">
            <v>8761350.6628620122</v>
          </cell>
          <cell r="AH43">
            <v>9578230.7875090074</v>
          </cell>
          <cell r="AI43">
            <v>10714720.026967572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1617237.9978576298</v>
          </cell>
          <cell r="F45">
            <v>3119580.8744765799</v>
          </cell>
          <cell r="G45">
            <v>4752196.6111598015</v>
          </cell>
          <cell r="H45">
            <v>6211535.592560133</v>
          </cell>
          <cell r="I45">
            <v>7701878.0796572203</v>
          </cell>
          <cell r="J45">
            <v>8870331.4831044897</v>
          </cell>
          <cell r="K45">
            <v>9990089.6874087062</v>
          </cell>
          <cell r="L45">
            <v>11339459.051514266</v>
          </cell>
          <cell r="M45">
            <v>12449075.56724121</v>
          </cell>
          <cell r="N45">
            <v>13942758.762903884</v>
          </cell>
          <cell r="O45">
            <v>15328027.046086278</v>
          </cell>
          <cell r="P45">
            <v>16953221.612256303</v>
          </cell>
          <cell r="T45">
            <v>42</v>
          </cell>
          <cell r="U45" t="str">
            <v>Total Volume</v>
          </cell>
          <cell r="V45"/>
          <cell r="W45"/>
          <cell r="X45">
            <v>1360697.23</v>
          </cell>
          <cell r="Y45">
            <v>2809163.48</v>
          </cell>
          <cell r="Z45">
            <v>4253196.4682043046</v>
          </cell>
          <cell r="AA45">
            <v>5335700.2182043036</v>
          </cell>
          <cell r="AB45">
            <v>7066823.0182043035</v>
          </cell>
          <cell r="AC45">
            <v>8428453.8488596752</v>
          </cell>
          <cell r="AD45">
            <v>10009703.921895023</v>
          </cell>
          <cell r="AE45">
            <v>11095611.60521375</v>
          </cell>
          <cell r="AF45">
            <v>12184790.395748369</v>
          </cell>
          <cell r="AG45">
            <v>13443253.050339859</v>
          </cell>
          <cell r="AH45">
            <v>14701030.535976239</v>
          </cell>
          <cell r="AI45">
            <v>16308186.539481934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45991</v>
          </cell>
          <cell r="F48">
            <v>95881</v>
          </cell>
          <cell r="G48">
            <v>138472</v>
          </cell>
          <cell r="H48">
            <v>172582</v>
          </cell>
          <cell r="I48">
            <v>194863</v>
          </cell>
          <cell r="J48">
            <v>213130</v>
          </cell>
          <cell r="K48">
            <v>228698</v>
          </cell>
          <cell r="L48">
            <v>243693</v>
          </cell>
          <cell r="M48">
            <v>260404</v>
          </cell>
          <cell r="N48">
            <v>280850</v>
          </cell>
          <cell r="O48">
            <v>308485</v>
          </cell>
          <cell r="P48">
            <v>342964</v>
          </cell>
          <cell r="T48">
            <v>45</v>
          </cell>
          <cell r="U48" t="str">
            <v>Residential</v>
          </cell>
          <cell r="W48"/>
          <cell r="X48">
            <v>44657</v>
          </cell>
          <cell r="Y48">
            <v>101670</v>
          </cell>
          <cell r="Z48">
            <v>140720</v>
          </cell>
          <cell r="AA48">
            <v>172415</v>
          </cell>
          <cell r="AB48">
            <v>190950</v>
          </cell>
          <cell r="AC48">
            <v>206792</v>
          </cell>
          <cell r="AD48">
            <v>222904</v>
          </cell>
          <cell r="AE48">
            <v>239603</v>
          </cell>
          <cell r="AF48">
            <v>255273</v>
          </cell>
          <cell r="AG48">
            <v>273557</v>
          </cell>
          <cell r="AH48">
            <v>296012</v>
          </cell>
          <cell r="AI48">
            <v>327218</v>
          </cell>
        </row>
        <row r="49">
          <cell r="A49">
            <v>46</v>
          </cell>
          <cell r="B49" t="str">
            <v>Commercial</v>
          </cell>
          <cell r="D49"/>
          <cell r="E49">
            <v>490031</v>
          </cell>
          <cell r="F49">
            <v>961421</v>
          </cell>
          <cell r="G49">
            <v>1447747</v>
          </cell>
          <cell r="H49">
            <v>1928549</v>
          </cell>
          <cell r="I49">
            <v>2377671</v>
          </cell>
          <cell r="J49">
            <v>2804168</v>
          </cell>
          <cell r="K49">
            <v>3219407</v>
          </cell>
          <cell r="L49">
            <v>3673667</v>
          </cell>
          <cell r="M49">
            <v>4118131</v>
          </cell>
          <cell r="N49">
            <v>4580270</v>
          </cell>
          <cell r="O49">
            <v>5060728</v>
          </cell>
          <cell r="P49">
            <v>6060468</v>
          </cell>
          <cell r="T49">
            <v>46</v>
          </cell>
          <cell r="U49" t="str">
            <v>Commercial</v>
          </cell>
          <cell r="W49"/>
          <cell r="X49">
            <v>473403</v>
          </cell>
          <cell r="Y49">
            <v>935192</v>
          </cell>
          <cell r="Z49">
            <v>1391089</v>
          </cell>
          <cell r="AA49">
            <v>1864174</v>
          </cell>
          <cell r="AB49">
            <v>2320989</v>
          </cell>
          <cell r="AC49">
            <v>2764538</v>
          </cell>
          <cell r="AD49">
            <v>3209487</v>
          </cell>
          <cell r="AE49">
            <v>3627067</v>
          </cell>
          <cell r="AF49">
            <v>4069566</v>
          </cell>
          <cell r="AG49">
            <v>4534290</v>
          </cell>
          <cell r="AH49">
            <v>4964592</v>
          </cell>
          <cell r="AI49">
            <v>5416714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1124719</v>
          </cell>
          <cell r="F50">
            <v>2146195</v>
          </cell>
          <cell r="G50">
            <v>3293812</v>
          </cell>
          <cell r="H50">
            <v>4277496</v>
          </cell>
          <cell r="I50">
            <v>5336527</v>
          </cell>
          <cell r="J50">
            <v>6091648</v>
          </cell>
          <cell r="K50">
            <v>6810721</v>
          </cell>
          <cell r="L50">
            <v>7727134</v>
          </cell>
          <cell r="M50">
            <v>8405424</v>
          </cell>
          <cell r="N50">
            <v>9456702</v>
          </cell>
          <cell r="O50">
            <v>10371142</v>
          </cell>
          <cell r="P50">
            <v>11005835</v>
          </cell>
          <cell r="T50">
            <v>47</v>
          </cell>
          <cell r="U50" t="str">
            <v xml:space="preserve">Industrial </v>
          </cell>
          <cell r="W50"/>
          <cell r="X50">
            <v>879240</v>
          </cell>
          <cell r="Y50">
            <v>1847867</v>
          </cell>
          <cell r="Z50">
            <v>2835798</v>
          </cell>
          <cell r="AA50">
            <v>3442640</v>
          </cell>
          <cell r="AB50">
            <v>4744980</v>
          </cell>
          <cell r="AC50">
            <v>5683848</v>
          </cell>
          <cell r="AD50">
            <v>6846573</v>
          </cell>
          <cell r="AE50">
            <v>7527413</v>
          </cell>
          <cell r="AF50">
            <v>8187722</v>
          </cell>
          <cell r="AG50">
            <v>8997029</v>
          </cell>
          <cell r="AH50">
            <v>9835883</v>
          </cell>
          <cell r="AI50">
            <v>11002944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1660741</v>
          </cell>
          <cell r="F52">
            <v>3203497</v>
          </cell>
          <cell r="G52">
            <v>4880031</v>
          </cell>
          <cell r="H52">
            <v>6378627</v>
          </cell>
          <cell r="I52">
            <v>7909061</v>
          </cell>
          <cell r="J52">
            <v>9108946</v>
          </cell>
          <cell r="K52">
            <v>10258826</v>
          </cell>
          <cell r="L52">
            <v>11644494</v>
          </cell>
          <cell r="M52">
            <v>12783959</v>
          </cell>
          <cell r="N52">
            <v>14317822</v>
          </cell>
          <cell r="O52">
            <v>15740355</v>
          </cell>
          <cell r="P52">
            <v>17409267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1397300</v>
          </cell>
          <cell r="Y52">
            <v>2884729</v>
          </cell>
          <cell r="Z52">
            <v>4367607</v>
          </cell>
          <cell r="AA52">
            <v>5479229</v>
          </cell>
          <cell r="AB52">
            <v>7256919</v>
          </cell>
          <cell r="AC52">
            <v>8655178</v>
          </cell>
          <cell r="AD52">
            <v>10278964</v>
          </cell>
          <cell r="AE52">
            <v>11394083</v>
          </cell>
          <cell r="AF52">
            <v>12512561</v>
          </cell>
          <cell r="AG52">
            <v>13804876</v>
          </cell>
          <cell r="AH52">
            <v>15096487</v>
          </cell>
          <cell r="AI52">
            <v>16746876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16484</v>
          </cell>
          <cell r="F55">
            <v>16523</v>
          </cell>
          <cell r="G55">
            <v>16565</v>
          </cell>
          <cell r="H55">
            <v>16600</v>
          </cell>
          <cell r="I55">
            <v>16599</v>
          </cell>
          <cell r="J55">
            <v>16591</v>
          </cell>
          <cell r="K55">
            <v>16588</v>
          </cell>
          <cell r="L55">
            <v>16588</v>
          </cell>
          <cell r="M55">
            <v>16589</v>
          </cell>
          <cell r="N55">
            <v>16594</v>
          </cell>
          <cell r="O55">
            <v>16607</v>
          </cell>
          <cell r="P55">
            <v>16626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1531610.1859966891</v>
          </cell>
          <cell r="F56">
            <v>3033953.1599961049</v>
          </cell>
          <cell r="G56">
            <v>4469761.125718181</v>
          </cell>
          <cell r="H56">
            <v>5812233.7131171487</v>
          </cell>
          <cell r="I56">
            <v>7376544.9410848189</v>
          </cell>
          <cell r="J56">
            <v>8607152.9847112671</v>
          </cell>
          <cell r="K56">
            <v>9738258.0582335182</v>
          </cell>
          <cell r="L56">
            <v>10931612.815269256</v>
          </cell>
          <cell r="M56">
            <v>11864358.44191255</v>
          </cell>
          <cell r="N56">
            <v>12930253.787126301</v>
          </cell>
          <cell r="O56">
            <v>14077087.912162818</v>
          </cell>
          <cell r="P56">
            <v>29034456.51216282</v>
          </cell>
        </row>
        <row r="57">
          <cell r="A57">
            <v>54</v>
          </cell>
          <cell r="B57" t="str">
            <v>Cumulative YTD Budget Volume (Dts) * 1.0269</v>
          </cell>
          <cell r="E57">
            <v>1572811</v>
          </cell>
          <cell r="F57">
            <v>3115567</v>
          </cell>
          <cell r="G57">
            <v>4589998</v>
          </cell>
          <cell r="H57">
            <v>5968583</v>
          </cell>
          <cell r="I57">
            <v>7574974</v>
          </cell>
          <cell r="J57">
            <v>8838685</v>
          </cell>
          <cell r="K57">
            <v>10000217</v>
          </cell>
          <cell r="L57">
            <v>11225673</v>
          </cell>
          <cell r="M57">
            <v>12183509</v>
          </cell>
          <cell r="N57">
            <v>13278077</v>
          </cell>
          <cell r="O57">
            <v>14455761</v>
          </cell>
          <cell r="P57">
            <v>29815483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53300</v>
          </cell>
          <cell r="D5">
            <v>639598</v>
          </cell>
          <cell r="E5">
            <v>52941</v>
          </cell>
          <cell r="F5">
            <v>52987</v>
          </cell>
          <cell r="G5">
            <v>53205</v>
          </cell>
          <cell r="H5">
            <v>53269</v>
          </cell>
          <cell r="I5">
            <v>53238</v>
          </cell>
          <cell r="J5">
            <v>53352</v>
          </cell>
          <cell r="K5">
            <v>53231</v>
          </cell>
          <cell r="L5">
            <v>53318</v>
          </cell>
          <cell r="M5">
            <v>53393</v>
          </cell>
          <cell r="N5">
            <v>53380</v>
          </cell>
          <cell r="O5">
            <v>53541</v>
          </cell>
          <cell r="P5">
            <v>53743</v>
          </cell>
          <cell r="T5">
            <v>2</v>
          </cell>
          <cell r="U5" t="str">
            <v>Residential</v>
          </cell>
          <cell r="V5"/>
          <cell r="W5"/>
          <cell r="X5">
            <v>51478</v>
          </cell>
          <cell r="Y5">
            <v>51615</v>
          </cell>
          <cell r="Z5">
            <v>51853</v>
          </cell>
          <cell r="AA5">
            <v>52017</v>
          </cell>
          <cell r="AB5">
            <v>51908</v>
          </cell>
          <cell r="AC5">
            <v>51995</v>
          </cell>
          <cell r="AD5">
            <v>52029</v>
          </cell>
          <cell r="AE5">
            <v>52136</v>
          </cell>
          <cell r="AF5">
            <v>52136</v>
          </cell>
          <cell r="AG5">
            <v>52229</v>
          </cell>
          <cell r="AH5">
            <v>52501</v>
          </cell>
          <cell r="AI5">
            <v>52655</v>
          </cell>
        </row>
        <row r="6">
          <cell r="A6">
            <v>3</v>
          </cell>
          <cell r="B6" t="str">
            <v>Commercial</v>
          </cell>
          <cell r="C6">
            <v>4236</v>
          </cell>
          <cell r="D6">
            <v>50828</v>
          </cell>
          <cell r="E6">
            <v>4253</v>
          </cell>
          <cell r="F6">
            <v>4265</v>
          </cell>
          <cell r="G6">
            <v>4266</v>
          </cell>
          <cell r="H6">
            <v>4277</v>
          </cell>
          <cell r="I6">
            <v>4268</v>
          </cell>
          <cell r="J6">
            <v>4249</v>
          </cell>
          <cell r="K6">
            <v>4237</v>
          </cell>
          <cell r="L6">
            <v>4213</v>
          </cell>
          <cell r="M6">
            <v>4199</v>
          </cell>
          <cell r="N6">
            <v>4193</v>
          </cell>
          <cell r="O6">
            <v>4195</v>
          </cell>
          <cell r="P6">
            <v>4213</v>
          </cell>
          <cell r="T6">
            <v>3</v>
          </cell>
          <cell r="U6" t="str">
            <v>Commercial</v>
          </cell>
          <cell r="V6"/>
          <cell r="W6"/>
          <cell r="X6">
            <v>4270</v>
          </cell>
          <cell r="Y6">
            <v>4287</v>
          </cell>
          <cell r="Z6">
            <v>4306</v>
          </cell>
          <cell r="AA6">
            <v>4281</v>
          </cell>
          <cell r="AB6">
            <v>4264</v>
          </cell>
          <cell r="AC6">
            <v>4246</v>
          </cell>
          <cell r="AD6">
            <v>4234</v>
          </cell>
          <cell r="AE6">
            <v>4223</v>
          </cell>
          <cell r="AF6">
            <v>4211</v>
          </cell>
          <cell r="AG6">
            <v>4201</v>
          </cell>
          <cell r="AH6">
            <v>4230</v>
          </cell>
          <cell r="AI6">
            <v>4229</v>
          </cell>
        </row>
        <row r="7">
          <cell r="A7">
            <v>4</v>
          </cell>
          <cell r="B7" t="str">
            <v xml:space="preserve">Industrial </v>
          </cell>
          <cell r="C7">
            <v>1786</v>
          </cell>
          <cell r="D7">
            <v>21428</v>
          </cell>
          <cell r="E7">
            <v>1706</v>
          </cell>
          <cell r="F7">
            <v>1718</v>
          </cell>
          <cell r="G7">
            <v>1723</v>
          </cell>
          <cell r="H7">
            <v>1731</v>
          </cell>
          <cell r="I7">
            <v>1746</v>
          </cell>
          <cell r="J7">
            <v>1770</v>
          </cell>
          <cell r="K7">
            <v>1789</v>
          </cell>
          <cell r="L7">
            <v>1815</v>
          </cell>
          <cell r="M7">
            <v>1839</v>
          </cell>
          <cell r="N7">
            <v>1851</v>
          </cell>
          <cell r="O7">
            <v>1861</v>
          </cell>
          <cell r="P7">
            <v>1879</v>
          </cell>
          <cell r="T7">
            <v>4</v>
          </cell>
          <cell r="U7" t="str">
            <v>Industrial firm</v>
          </cell>
          <cell r="V7"/>
          <cell r="W7"/>
          <cell r="X7">
            <v>1527</v>
          </cell>
          <cell r="Y7">
            <v>1546</v>
          </cell>
          <cell r="Z7">
            <v>1564</v>
          </cell>
          <cell r="AA7">
            <v>1587</v>
          </cell>
          <cell r="AB7">
            <v>1607</v>
          </cell>
          <cell r="AC7">
            <v>1631</v>
          </cell>
          <cell r="AD7">
            <v>1643</v>
          </cell>
          <cell r="AE7">
            <v>1657</v>
          </cell>
          <cell r="AF7">
            <v>1690</v>
          </cell>
          <cell r="AG7">
            <v>1706</v>
          </cell>
          <cell r="AH7">
            <v>1717</v>
          </cell>
          <cell r="AI7">
            <v>1717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59322</v>
          </cell>
          <cell r="D9">
            <v>711854</v>
          </cell>
          <cell r="E9">
            <v>58900</v>
          </cell>
          <cell r="F9">
            <v>58970</v>
          </cell>
          <cell r="G9">
            <v>59194</v>
          </cell>
          <cell r="H9">
            <v>59277</v>
          </cell>
          <cell r="I9">
            <v>59252</v>
          </cell>
          <cell r="J9">
            <v>59371</v>
          </cell>
          <cell r="K9">
            <v>59257</v>
          </cell>
          <cell r="L9">
            <v>59346</v>
          </cell>
          <cell r="M9">
            <v>59431</v>
          </cell>
          <cell r="N9">
            <v>59424</v>
          </cell>
          <cell r="O9">
            <v>59597</v>
          </cell>
          <cell r="P9">
            <v>59835</v>
          </cell>
          <cell r="T9">
            <v>6</v>
          </cell>
          <cell r="U9" t="str">
            <v>Total customers</v>
          </cell>
          <cell r="V9"/>
          <cell r="W9"/>
          <cell r="X9">
            <v>57275</v>
          </cell>
          <cell r="Y9">
            <v>57448</v>
          </cell>
          <cell r="Z9">
            <v>57723</v>
          </cell>
          <cell r="AA9">
            <v>57885</v>
          </cell>
          <cell r="AB9">
            <v>57779</v>
          </cell>
          <cell r="AC9">
            <v>57872</v>
          </cell>
          <cell r="AD9">
            <v>57906</v>
          </cell>
          <cell r="AE9">
            <v>58016</v>
          </cell>
          <cell r="AF9">
            <v>58037</v>
          </cell>
          <cell r="AG9">
            <v>58136</v>
          </cell>
          <cell r="AH9">
            <v>58448</v>
          </cell>
          <cell r="AI9">
            <v>58601</v>
          </cell>
        </row>
        <row r="10">
          <cell r="A10">
            <v>7</v>
          </cell>
          <cell r="T10">
            <v>7</v>
          </cell>
          <cell r="X10"/>
        </row>
        <row r="11">
          <cell r="A11">
            <v>8</v>
          </cell>
          <cell r="B11" t="str">
            <v>Volume - 2016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1274618.4486318044</v>
          </cell>
          <cell r="E12">
            <v>169382</v>
          </cell>
          <cell r="F12">
            <v>176192</v>
          </cell>
          <cell r="G12">
            <v>148059</v>
          </cell>
          <cell r="H12">
            <v>116216</v>
          </cell>
          <cell r="I12">
            <v>89463</v>
          </cell>
          <cell r="J12">
            <v>76893.981887233414</v>
          </cell>
          <cell r="K12">
            <v>67907.196221637932</v>
          </cell>
          <cell r="L12">
            <v>57127</v>
          </cell>
          <cell r="M12">
            <v>66640.321355536071</v>
          </cell>
          <cell r="N12">
            <v>78785.860356412493</v>
          </cell>
          <cell r="O12">
            <v>99029.116759178098</v>
          </cell>
          <cell r="P12">
            <v>128922.97205180641</v>
          </cell>
          <cell r="T12">
            <v>9</v>
          </cell>
          <cell r="U12" t="str">
            <v>Residential</v>
          </cell>
          <cell r="V12"/>
          <cell r="W12">
            <v>1215133.0395364724</v>
          </cell>
          <cell r="X12">
            <v>172785.19330022397</v>
          </cell>
          <cell r="Y12">
            <v>186091.1539585159</v>
          </cell>
          <cell r="Z12">
            <v>142599.10896874429</v>
          </cell>
          <cell r="AA12">
            <v>105427.84789171293</v>
          </cell>
          <cell r="AB12">
            <v>79997.259713701438</v>
          </cell>
          <cell r="AC12">
            <v>66233.031453890348</v>
          </cell>
          <cell r="AD12">
            <v>64473</v>
          </cell>
          <cell r="AE12">
            <v>62570</v>
          </cell>
          <cell r="AF12">
            <v>64969</v>
          </cell>
          <cell r="AG12">
            <v>67082.48125426039</v>
          </cell>
          <cell r="AH12">
            <v>84019.96299542312</v>
          </cell>
          <cell r="AI12">
            <v>118885</v>
          </cell>
        </row>
        <row r="13">
          <cell r="A13">
            <v>10</v>
          </cell>
          <cell r="B13" t="str">
            <v>Commercial</v>
          </cell>
          <cell r="D13">
            <v>2077946.2477359043</v>
          </cell>
          <cell r="E13">
            <v>225740</v>
          </cell>
          <cell r="F13">
            <v>225719</v>
          </cell>
          <cell r="G13">
            <v>222736</v>
          </cell>
          <cell r="H13">
            <v>189008</v>
          </cell>
          <cell r="I13">
            <v>180679</v>
          </cell>
          <cell r="J13">
            <v>148800.1791800565</v>
          </cell>
          <cell r="K13">
            <v>133466.1969033012</v>
          </cell>
          <cell r="L13">
            <v>126931</v>
          </cell>
          <cell r="M13">
            <v>138040.40364202939</v>
          </cell>
          <cell r="N13">
            <v>138868.53637160384</v>
          </cell>
          <cell r="O13">
            <v>164677.18375693835</v>
          </cell>
          <cell r="P13">
            <v>183280.74788197488</v>
          </cell>
          <cell r="T13">
            <v>10</v>
          </cell>
          <cell r="U13" t="str">
            <v>Commercial</v>
          </cell>
          <cell r="W13">
            <v>2354482.4883630341</v>
          </cell>
          <cell r="X13">
            <v>256252.56500146046</v>
          </cell>
          <cell r="Y13">
            <v>298732.63414159114</v>
          </cell>
          <cell r="Z13">
            <v>259924.54669393311</v>
          </cell>
          <cell r="AA13">
            <v>216058.59382607846</v>
          </cell>
          <cell r="AB13">
            <v>194466.8770084721</v>
          </cell>
          <cell r="AC13">
            <v>154507.35222514364</v>
          </cell>
          <cell r="AD13">
            <v>155806</v>
          </cell>
          <cell r="AE13">
            <v>153768</v>
          </cell>
          <cell r="AF13">
            <v>147152</v>
          </cell>
          <cell r="AG13">
            <v>157801.34287661893</v>
          </cell>
          <cell r="AH13">
            <v>164491.5765897361</v>
          </cell>
          <cell r="AI13">
            <v>195521</v>
          </cell>
        </row>
        <row r="14">
          <cell r="A14">
            <v>11</v>
          </cell>
          <cell r="B14" t="str">
            <v xml:space="preserve">Industrial </v>
          </cell>
          <cell r="D14">
            <v>4182073.6436106316</v>
          </cell>
          <cell r="E14">
            <v>355054</v>
          </cell>
          <cell r="F14">
            <v>347321</v>
          </cell>
          <cell r="G14">
            <v>393890</v>
          </cell>
          <cell r="H14">
            <v>348849</v>
          </cell>
          <cell r="I14">
            <v>318053</v>
          </cell>
          <cell r="J14">
            <v>339657.29866588768</v>
          </cell>
          <cell r="K14">
            <v>343098.71681760636</v>
          </cell>
          <cell r="L14">
            <v>331705</v>
          </cell>
          <cell r="M14">
            <v>327401.63287564513</v>
          </cell>
          <cell r="N14">
            <v>339993.84431177127</v>
          </cell>
          <cell r="O14">
            <v>366784.30226896488</v>
          </cell>
          <cell r="P14">
            <v>370265.84867075662</v>
          </cell>
          <cell r="T14">
            <v>11</v>
          </cell>
          <cell r="U14" t="str">
            <v>Industrial firm</v>
          </cell>
          <cell r="W14">
            <v>3883435.7124354853</v>
          </cell>
          <cell r="X14">
            <v>386113.98383484263</v>
          </cell>
          <cell r="Y14">
            <v>384250.05453306064</v>
          </cell>
          <cell r="Z14">
            <v>329808.98724315915</v>
          </cell>
          <cell r="AA14">
            <v>333215.32671146165</v>
          </cell>
          <cell r="AB14">
            <v>323122.11510371015</v>
          </cell>
          <cell r="AC14">
            <v>341124.84175674361</v>
          </cell>
          <cell r="AD14">
            <v>288410</v>
          </cell>
          <cell r="AE14">
            <v>290724</v>
          </cell>
          <cell r="AF14">
            <v>279330</v>
          </cell>
          <cell r="AG14">
            <v>290538.0338884017</v>
          </cell>
          <cell r="AH14">
            <v>304603.36936410557</v>
          </cell>
          <cell r="AI14">
            <v>332195</v>
          </cell>
        </row>
        <row r="15">
          <cell r="A15">
            <v>12</v>
          </cell>
          <cell r="B15" t="str">
            <v>Other</v>
          </cell>
          <cell r="D15">
            <v>-4091.20839419612</v>
          </cell>
          <cell r="E15">
            <v>-12552.932515337425</v>
          </cell>
          <cell r="F15">
            <v>55423.579998052395</v>
          </cell>
          <cell r="G15">
            <v>-3545.925114422047</v>
          </cell>
          <cell r="H15">
            <v>-45617.861232836694</v>
          </cell>
          <cell r="I15">
            <v>648</v>
          </cell>
          <cell r="J15">
            <v>461.54737559645537</v>
          </cell>
          <cell r="K15">
            <v>248</v>
          </cell>
          <cell r="L15">
            <v>130</v>
          </cell>
          <cell r="M15">
            <v>207.12825007303536</v>
          </cell>
          <cell r="N15">
            <v>192.03427792384846</v>
          </cell>
          <cell r="O15">
            <v>189.01548349401111</v>
          </cell>
          <cell r="P15">
            <v>126.20508326029798</v>
          </cell>
          <cell r="T15">
            <v>12</v>
          </cell>
          <cell r="U15" t="str">
            <v>Other</v>
          </cell>
          <cell r="W15">
            <v>-82543.286785470831</v>
          </cell>
          <cell r="X15">
            <v>-36603.919466355052</v>
          </cell>
          <cell r="Y15">
            <v>-5692.0294089005747</v>
          </cell>
          <cell r="Z15">
            <v>-37124.786931541537</v>
          </cell>
          <cell r="AA15">
            <v>43386.992112182299</v>
          </cell>
          <cell r="AB15">
            <v>493.75654883630341</v>
          </cell>
          <cell r="AC15">
            <v>-70247.684876813713</v>
          </cell>
          <cell r="AD15">
            <v>-30630.11442204694</v>
          </cell>
          <cell r="AE15">
            <v>14758.5492258253</v>
          </cell>
          <cell r="AF15">
            <v>-26000.411335086184</v>
          </cell>
          <cell r="AG15">
            <v>41383.192131658398</v>
          </cell>
          <cell r="AH15">
            <v>22882.169636770865</v>
          </cell>
          <cell r="AI15">
            <v>851</v>
          </cell>
        </row>
        <row r="16">
          <cell r="A16">
            <v>13</v>
          </cell>
          <cell r="B16" t="str">
            <v>Total Deliveries</v>
          </cell>
          <cell r="C16"/>
          <cell r="D16">
            <v>7530547.1315841451</v>
          </cell>
          <cell r="E16">
            <v>737623.06748466252</v>
          </cell>
          <cell r="F16">
            <v>804655.57999805245</v>
          </cell>
          <cell r="G16">
            <v>761139.07488557789</v>
          </cell>
          <cell r="H16">
            <v>608455.13876716327</v>
          </cell>
          <cell r="I16">
            <v>588843</v>
          </cell>
          <cell r="J16">
            <v>565813.00710877404</v>
          </cell>
          <cell r="K16">
            <v>544720.10994254542</v>
          </cell>
          <cell r="L16">
            <v>515893</v>
          </cell>
          <cell r="M16">
            <v>532289.48612328363</v>
          </cell>
          <cell r="N16">
            <v>557840.27531771152</v>
          </cell>
          <cell r="O16">
            <v>630679.6182685754</v>
          </cell>
          <cell r="P16">
            <v>682595.7736877983</v>
          </cell>
          <cell r="T16">
            <v>13</v>
          </cell>
          <cell r="U16" t="str">
            <v>Total Deliveries</v>
          </cell>
          <cell r="V16"/>
          <cell r="W16">
            <v>7370507.9535495201</v>
          </cell>
          <cell r="X16">
            <v>778547.82267017209</v>
          </cell>
          <cell r="Y16">
            <v>863381.81322426721</v>
          </cell>
          <cell r="Z16">
            <v>695207.85597429494</v>
          </cell>
          <cell r="AA16">
            <v>698088.76054143533</v>
          </cell>
          <cell r="AB16">
            <v>598080.00837472011</v>
          </cell>
          <cell r="AC16">
            <v>491617.54055896384</v>
          </cell>
          <cell r="AD16">
            <v>478058.88557795307</v>
          </cell>
          <cell r="AE16">
            <v>521820.54922582529</v>
          </cell>
          <cell r="AF16">
            <v>465450.58866491384</v>
          </cell>
          <cell r="AG16">
            <v>556805.05015093938</v>
          </cell>
          <cell r="AH16">
            <v>575997.07858603564</v>
          </cell>
          <cell r="AI16">
            <v>647452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</row>
        <row r="18">
          <cell r="A18">
            <v>15</v>
          </cell>
          <cell r="B18" t="str">
            <v>DATA INPUT AREA</v>
          </cell>
          <cell r="T18">
            <v>15</v>
          </cell>
          <cell r="X18"/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  <cell r="X19"/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52019</v>
          </cell>
          <cell r="D21">
            <v>624228</v>
          </cell>
          <cell r="E21">
            <v>51638</v>
          </cell>
          <cell r="F21">
            <v>51695</v>
          </cell>
          <cell r="G21">
            <v>51907</v>
          </cell>
          <cell r="H21">
            <v>51978</v>
          </cell>
          <cell r="I21">
            <v>51954</v>
          </cell>
          <cell r="J21">
            <v>52078</v>
          </cell>
          <cell r="K21">
            <v>51962</v>
          </cell>
          <cell r="L21">
            <v>52045</v>
          </cell>
          <cell r="M21">
            <v>52120</v>
          </cell>
          <cell r="N21">
            <v>52115</v>
          </cell>
          <cell r="O21">
            <v>52271</v>
          </cell>
          <cell r="P21">
            <v>52465</v>
          </cell>
          <cell r="T21">
            <v>18</v>
          </cell>
          <cell r="U21" t="str">
            <v>Residential</v>
          </cell>
          <cell r="V21"/>
          <cell r="W21"/>
          <cell r="X21">
            <v>50149</v>
          </cell>
          <cell r="Y21">
            <v>50287</v>
          </cell>
          <cell r="Z21">
            <v>50518</v>
          </cell>
          <cell r="AA21">
            <v>50689</v>
          </cell>
          <cell r="AB21">
            <v>50593</v>
          </cell>
          <cell r="AC21">
            <v>50687</v>
          </cell>
          <cell r="AD21">
            <v>50739</v>
          </cell>
          <cell r="AE21">
            <v>50856</v>
          </cell>
          <cell r="AF21">
            <v>50867</v>
          </cell>
          <cell r="AG21">
            <v>50954</v>
          </cell>
          <cell r="AH21">
            <v>51231</v>
          </cell>
          <cell r="AI21">
            <v>51388</v>
          </cell>
        </row>
        <row r="22">
          <cell r="A22">
            <v>19</v>
          </cell>
          <cell r="B22" t="str">
            <v>Commercial Small</v>
          </cell>
          <cell r="C22">
            <v>3336</v>
          </cell>
          <cell r="D22">
            <v>40028</v>
          </cell>
          <cell r="E22">
            <v>3338</v>
          </cell>
          <cell r="F22">
            <v>3346</v>
          </cell>
          <cell r="G22">
            <v>3357</v>
          </cell>
          <cell r="H22">
            <v>3369</v>
          </cell>
          <cell r="I22">
            <v>3357</v>
          </cell>
          <cell r="J22">
            <v>3342</v>
          </cell>
          <cell r="K22">
            <v>3342</v>
          </cell>
          <cell r="L22">
            <v>3318</v>
          </cell>
          <cell r="M22">
            <v>3312</v>
          </cell>
          <cell r="N22">
            <v>3310</v>
          </cell>
          <cell r="O22">
            <v>3311</v>
          </cell>
          <cell r="P22">
            <v>3326</v>
          </cell>
          <cell r="T22">
            <v>19</v>
          </cell>
          <cell r="U22" t="str">
            <v>Commercial Small</v>
          </cell>
          <cell r="X22">
            <v>3344</v>
          </cell>
          <cell r="Y22">
            <v>3347</v>
          </cell>
          <cell r="Z22">
            <v>3340</v>
          </cell>
          <cell r="AA22">
            <v>3334</v>
          </cell>
          <cell r="AB22">
            <v>3329</v>
          </cell>
          <cell r="AC22">
            <v>3311</v>
          </cell>
          <cell r="AD22">
            <v>3313</v>
          </cell>
          <cell r="AE22">
            <v>3311</v>
          </cell>
          <cell r="AF22">
            <v>3308</v>
          </cell>
          <cell r="AG22">
            <v>3304</v>
          </cell>
          <cell r="AH22">
            <v>3336</v>
          </cell>
          <cell r="AI22">
            <v>3334</v>
          </cell>
        </row>
        <row r="23">
          <cell r="A23">
            <v>20</v>
          </cell>
          <cell r="B23" t="str">
            <v>Commercial Large</v>
          </cell>
          <cell r="C23">
            <v>793</v>
          </cell>
          <cell r="D23">
            <v>9520</v>
          </cell>
          <cell r="E23">
            <v>809</v>
          </cell>
          <cell r="F23">
            <v>810</v>
          </cell>
          <cell r="G23">
            <v>800</v>
          </cell>
          <cell r="H23">
            <v>799</v>
          </cell>
          <cell r="I23">
            <v>802</v>
          </cell>
          <cell r="J23">
            <v>798</v>
          </cell>
          <cell r="K23">
            <v>789</v>
          </cell>
          <cell r="L23">
            <v>789</v>
          </cell>
          <cell r="M23">
            <v>782</v>
          </cell>
          <cell r="N23">
            <v>780</v>
          </cell>
          <cell r="O23">
            <v>780</v>
          </cell>
          <cell r="P23">
            <v>782</v>
          </cell>
          <cell r="T23">
            <v>20</v>
          </cell>
          <cell r="U23" t="str">
            <v>Commercial Large</v>
          </cell>
          <cell r="X23">
            <v>883</v>
          </cell>
          <cell r="Y23">
            <v>867</v>
          </cell>
          <cell r="Z23">
            <v>855</v>
          </cell>
          <cell r="AA23">
            <v>855</v>
          </cell>
          <cell r="AB23">
            <v>843</v>
          </cell>
          <cell r="AC23">
            <v>843</v>
          </cell>
          <cell r="AD23">
            <v>829</v>
          </cell>
          <cell r="AE23">
            <v>819</v>
          </cell>
          <cell r="AF23">
            <v>810</v>
          </cell>
          <cell r="AG23">
            <v>804</v>
          </cell>
          <cell r="AH23">
            <v>802</v>
          </cell>
          <cell r="AI23">
            <v>803</v>
          </cell>
        </row>
        <row r="24">
          <cell r="A24">
            <v>21</v>
          </cell>
          <cell r="B24" t="str">
            <v>Outdoor Lights</v>
          </cell>
          <cell r="C24">
            <v>62</v>
          </cell>
          <cell r="D24">
            <v>748</v>
          </cell>
          <cell r="E24">
            <v>62</v>
          </cell>
          <cell r="F24">
            <v>64</v>
          </cell>
          <cell r="G24">
            <v>64</v>
          </cell>
          <cell r="H24">
            <v>64</v>
          </cell>
          <cell r="I24">
            <v>64</v>
          </cell>
          <cell r="J24">
            <v>64</v>
          </cell>
          <cell r="K24">
            <v>62</v>
          </cell>
          <cell r="L24">
            <v>62</v>
          </cell>
          <cell r="M24">
            <v>62</v>
          </cell>
          <cell r="N24">
            <v>60</v>
          </cell>
          <cell r="O24">
            <v>60</v>
          </cell>
          <cell r="P24">
            <v>60</v>
          </cell>
          <cell r="T24">
            <v>21</v>
          </cell>
          <cell r="U24" t="str">
            <v>Outdoor Lights</v>
          </cell>
          <cell r="X24">
            <v>14</v>
          </cell>
          <cell r="Y24">
            <v>44</v>
          </cell>
          <cell r="Z24">
            <v>82</v>
          </cell>
          <cell r="AA24">
            <v>63</v>
          </cell>
          <cell r="AB24">
            <v>63</v>
          </cell>
          <cell r="AC24">
            <v>63</v>
          </cell>
          <cell r="AD24">
            <v>63</v>
          </cell>
          <cell r="AE24">
            <v>64</v>
          </cell>
          <cell r="AF24">
            <v>64</v>
          </cell>
          <cell r="AG24">
            <v>64</v>
          </cell>
          <cell r="AH24">
            <v>64</v>
          </cell>
          <cell r="AI24">
            <v>64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E25">
            <v>0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T25">
            <v>22</v>
          </cell>
          <cell r="U25" t="str">
            <v>Interdepartmental</v>
          </cell>
          <cell r="X25"/>
          <cell r="Y25"/>
          <cell r="Z25"/>
          <cell r="AA25">
            <v>0</v>
          </cell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/>
          <cell r="AH25">
            <v>0</v>
          </cell>
          <cell r="AI25">
            <v>0</v>
          </cell>
        </row>
        <row r="26">
          <cell r="A26">
            <v>23</v>
          </cell>
          <cell r="B26" t="str">
            <v>Commercial Small Transp</v>
          </cell>
          <cell r="C26">
            <v>727</v>
          </cell>
          <cell r="D26">
            <v>8724</v>
          </cell>
          <cell r="E26">
            <v>678</v>
          </cell>
          <cell r="F26">
            <v>681</v>
          </cell>
          <cell r="G26">
            <v>679</v>
          </cell>
          <cell r="H26">
            <v>686</v>
          </cell>
          <cell r="I26">
            <v>699</v>
          </cell>
          <cell r="J26">
            <v>711</v>
          </cell>
          <cell r="K26">
            <v>731</v>
          </cell>
          <cell r="L26">
            <v>750</v>
          </cell>
          <cell r="M26">
            <v>765</v>
          </cell>
          <cell r="N26">
            <v>773</v>
          </cell>
          <cell r="O26">
            <v>778</v>
          </cell>
          <cell r="P26">
            <v>793</v>
          </cell>
          <cell r="T26">
            <v>23</v>
          </cell>
          <cell r="U26" t="str">
            <v>Commercial Small Transp</v>
          </cell>
          <cell r="X26">
            <v>556</v>
          </cell>
          <cell r="Y26">
            <v>568</v>
          </cell>
          <cell r="Z26">
            <v>580</v>
          </cell>
          <cell r="AA26">
            <v>594</v>
          </cell>
          <cell r="AB26">
            <v>605</v>
          </cell>
          <cell r="AC26">
            <v>623</v>
          </cell>
          <cell r="AD26">
            <v>628</v>
          </cell>
          <cell r="AE26">
            <v>634</v>
          </cell>
          <cell r="AF26">
            <v>660</v>
          </cell>
          <cell r="AG26">
            <v>667</v>
          </cell>
          <cell r="AH26">
            <v>676</v>
          </cell>
          <cell r="AI26">
            <v>677</v>
          </cell>
        </row>
        <row r="27">
          <cell r="A27">
            <v>24</v>
          </cell>
          <cell r="B27" t="str">
            <v>Commercial Large Transp</v>
          </cell>
          <cell r="C27">
            <v>1032</v>
          </cell>
          <cell r="D27">
            <v>12379</v>
          </cell>
          <cell r="E27">
            <v>1001</v>
          </cell>
          <cell r="F27">
            <v>1010</v>
          </cell>
          <cell r="G27">
            <v>1017</v>
          </cell>
          <cell r="H27">
            <v>1018</v>
          </cell>
          <cell r="I27">
            <v>1020</v>
          </cell>
          <cell r="J27">
            <v>1032</v>
          </cell>
          <cell r="K27">
            <v>1031</v>
          </cell>
          <cell r="L27">
            <v>1037</v>
          </cell>
          <cell r="M27">
            <v>1047</v>
          </cell>
          <cell r="N27">
            <v>1053</v>
          </cell>
          <cell r="O27">
            <v>1054</v>
          </cell>
          <cell r="P27">
            <v>1059</v>
          </cell>
          <cell r="T27">
            <v>24</v>
          </cell>
          <cell r="U27" t="str">
            <v>Commercial Large Transp</v>
          </cell>
          <cell r="X27">
            <v>930</v>
          </cell>
          <cell r="Y27">
            <v>935</v>
          </cell>
          <cell r="Z27">
            <v>942</v>
          </cell>
          <cell r="AA27">
            <v>951</v>
          </cell>
          <cell r="AB27">
            <v>960</v>
          </cell>
          <cell r="AC27">
            <v>966</v>
          </cell>
          <cell r="AD27">
            <v>973</v>
          </cell>
          <cell r="AE27">
            <v>982</v>
          </cell>
          <cell r="AF27">
            <v>989</v>
          </cell>
          <cell r="AG27">
            <v>999</v>
          </cell>
          <cell r="AH27">
            <v>1000</v>
          </cell>
          <cell r="AI27">
            <v>999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18</v>
          </cell>
          <cell r="J28">
            <v>18</v>
          </cell>
          <cell r="K28">
            <v>18</v>
          </cell>
          <cell r="L28">
            <v>19</v>
          </cell>
          <cell r="M28">
            <v>18</v>
          </cell>
          <cell r="N28">
            <v>16</v>
          </cell>
          <cell r="O28">
            <v>20</v>
          </cell>
          <cell r="P28">
            <v>18</v>
          </cell>
          <cell r="T28">
            <v>25</v>
          </cell>
          <cell r="U28" t="str">
            <v>Interruptible Transp</v>
          </cell>
          <cell r="X28">
            <v>17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17</v>
          </cell>
          <cell r="AG28">
            <v>16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695844</v>
          </cell>
          <cell r="E30">
            <v>57544</v>
          </cell>
          <cell r="F30">
            <v>57624</v>
          </cell>
          <cell r="G30">
            <v>57842</v>
          </cell>
          <cell r="H30">
            <v>57932</v>
          </cell>
          <cell r="I30">
            <v>57914</v>
          </cell>
          <cell r="J30">
            <v>58043</v>
          </cell>
          <cell r="K30">
            <v>57935</v>
          </cell>
          <cell r="L30">
            <v>58020</v>
          </cell>
          <cell r="M30">
            <v>58106</v>
          </cell>
          <cell r="N30">
            <v>58107</v>
          </cell>
          <cell r="O30">
            <v>58274</v>
          </cell>
          <cell r="P30">
            <v>58503</v>
          </cell>
          <cell r="T30">
            <v>27</v>
          </cell>
          <cell r="V30"/>
          <cell r="W30"/>
          <cell r="X30">
            <v>55893</v>
          </cell>
          <cell r="Y30">
            <v>56065</v>
          </cell>
          <cell r="Z30">
            <v>56334</v>
          </cell>
          <cell r="AA30">
            <v>56503</v>
          </cell>
          <cell r="AB30">
            <v>56410</v>
          </cell>
          <cell r="AC30">
            <v>56510</v>
          </cell>
          <cell r="AD30">
            <v>56562</v>
          </cell>
          <cell r="AE30">
            <v>56683</v>
          </cell>
          <cell r="AF30">
            <v>56715</v>
          </cell>
          <cell r="AG30">
            <v>56808</v>
          </cell>
          <cell r="AH30">
            <v>57126</v>
          </cell>
          <cell r="AI30">
            <v>57282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  <cell r="X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1255827.8278313368</v>
          </cell>
          <cell r="E33">
            <v>167417</v>
          </cell>
          <cell r="F33">
            <v>174048</v>
          </cell>
          <cell r="G33">
            <v>146144</v>
          </cell>
          <cell r="H33">
            <v>114803</v>
          </cell>
          <cell r="I33">
            <v>88279</v>
          </cell>
          <cell r="J33">
            <v>75258.407829389427</v>
          </cell>
          <cell r="K33">
            <v>66715.196221637932</v>
          </cell>
          <cell r="L33">
            <v>55865</v>
          </cell>
          <cell r="M33">
            <v>65340</v>
          </cell>
          <cell r="N33">
            <v>77490.408024150354</v>
          </cell>
          <cell r="O33">
            <v>97440.646606290771</v>
          </cell>
          <cell r="P33">
            <v>127027.16914986854</v>
          </cell>
          <cell r="T33">
            <v>30</v>
          </cell>
          <cell r="U33" t="str">
            <v>Residential</v>
          </cell>
          <cell r="V33"/>
          <cell r="W33"/>
          <cell r="X33">
            <v>170568.79735125133</v>
          </cell>
          <cell r="Y33">
            <v>183764.99756548836</v>
          </cell>
          <cell r="Z33">
            <v>140595.70162625719</v>
          </cell>
          <cell r="AA33">
            <v>103925.21180251242</v>
          </cell>
          <cell r="AB33">
            <v>78639.205375401696</v>
          </cell>
          <cell r="AC33">
            <v>64977.992014801828</v>
          </cell>
          <cell r="AD33">
            <v>63142</v>
          </cell>
          <cell r="AE33">
            <v>61282</v>
          </cell>
          <cell r="AF33">
            <v>63650</v>
          </cell>
          <cell r="AG33">
            <v>65813.419028142947</v>
          </cell>
          <cell r="AH33">
            <v>82763.657610283379</v>
          </cell>
          <cell r="AI33">
            <v>117196</v>
          </cell>
        </row>
        <row r="34">
          <cell r="A34">
            <v>31</v>
          </cell>
          <cell r="B34" t="str">
            <v>Commercial Small</v>
          </cell>
          <cell r="D34">
            <v>868798.39702015778</v>
          </cell>
          <cell r="E34">
            <v>95873</v>
          </cell>
          <cell r="F34">
            <v>97447</v>
          </cell>
          <cell r="G34">
            <v>88811</v>
          </cell>
          <cell r="H34">
            <v>78598</v>
          </cell>
          <cell r="I34">
            <v>67259</v>
          </cell>
          <cell r="J34">
            <v>64146.170026292726</v>
          </cell>
          <cell r="K34">
            <v>56193.090855974289</v>
          </cell>
          <cell r="L34">
            <v>53763</v>
          </cell>
          <cell r="M34">
            <v>58650</v>
          </cell>
          <cell r="N34">
            <v>59666.861427597622</v>
          </cell>
          <cell r="O34">
            <v>68286.980231765512</v>
          </cell>
          <cell r="P34">
            <v>80104.294478527605</v>
          </cell>
          <cell r="T34">
            <v>31</v>
          </cell>
          <cell r="U34" t="str">
            <v>Commercial Small</v>
          </cell>
          <cell r="X34">
            <v>96127.238289998801</v>
          </cell>
          <cell r="Y34">
            <v>104694.05687019184</v>
          </cell>
          <cell r="Z34">
            <v>87893.286590709802</v>
          </cell>
          <cell r="AA34">
            <v>74319.992209562755</v>
          </cell>
          <cell r="AB34">
            <v>61978.089395267307</v>
          </cell>
          <cell r="AC34">
            <v>56001.363326516701</v>
          </cell>
          <cell r="AD34">
            <v>57336</v>
          </cell>
          <cell r="AE34">
            <v>54399</v>
          </cell>
          <cell r="AF34">
            <v>59533</v>
          </cell>
          <cell r="AG34">
            <v>57368.464310059382</v>
          </cell>
          <cell r="AH34">
            <v>64246.762099522835</v>
          </cell>
          <cell r="AI34">
            <v>78553</v>
          </cell>
        </row>
        <row r="35">
          <cell r="A35">
            <v>32</v>
          </cell>
          <cell r="B35" t="str">
            <v>Commercial Large</v>
          </cell>
          <cell r="D35">
            <v>1180177.1640860843</v>
          </cell>
          <cell r="E35">
            <v>127701</v>
          </cell>
          <cell r="F35">
            <v>125865</v>
          </cell>
          <cell r="G35">
            <v>131837</v>
          </cell>
          <cell r="H35">
            <v>107596</v>
          </cell>
          <cell r="I35">
            <v>111008</v>
          </cell>
          <cell r="J35">
            <v>82157.401889181026</v>
          </cell>
          <cell r="K35">
            <v>74928.657123381054</v>
          </cell>
          <cell r="L35">
            <v>70670</v>
          </cell>
          <cell r="M35">
            <v>76905</v>
          </cell>
          <cell r="N35">
            <v>76628.20138280261</v>
          </cell>
          <cell r="O35">
            <v>93808.25786347258</v>
          </cell>
          <cell r="P35">
            <v>101072.64582724705</v>
          </cell>
          <cell r="T35">
            <v>32</v>
          </cell>
          <cell r="U35" t="str">
            <v>Commercial Large</v>
          </cell>
          <cell r="X35">
            <v>158752.74807673573</v>
          </cell>
          <cell r="Y35">
            <v>192704.85539000874</v>
          </cell>
          <cell r="Z35">
            <v>169595.65975265365</v>
          </cell>
          <cell r="AA35">
            <v>139398.77300613496</v>
          </cell>
          <cell r="AB35">
            <v>130218.61914499951</v>
          </cell>
          <cell r="AC35">
            <v>96291.946635504923</v>
          </cell>
          <cell r="AD35">
            <v>96166</v>
          </cell>
          <cell r="AE35">
            <v>97093</v>
          </cell>
          <cell r="AF35">
            <v>85335</v>
          </cell>
          <cell r="AG35">
            <v>98059.110916350182</v>
          </cell>
          <cell r="AH35">
            <v>97947.1224072451</v>
          </cell>
          <cell r="AI35">
            <v>114401</v>
          </cell>
        </row>
        <row r="36">
          <cell r="A36">
            <v>33</v>
          </cell>
          <cell r="B36" t="str">
            <v>Outdoor Lights</v>
          </cell>
          <cell r="D36">
            <v>20274.885870094455</v>
          </cell>
          <cell r="E36">
            <v>1671</v>
          </cell>
          <cell r="F36">
            <v>1719</v>
          </cell>
          <cell r="G36">
            <v>1719</v>
          </cell>
          <cell r="H36">
            <v>1719</v>
          </cell>
          <cell r="I36">
            <v>1719</v>
          </cell>
          <cell r="J36">
            <v>1719.3709221930083</v>
          </cell>
          <cell r="K36">
            <v>1690.4489239458564</v>
          </cell>
          <cell r="L36">
            <v>1690</v>
          </cell>
          <cell r="M36">
            <v>1690</v>
          </cell>
          <cell r="N36">
            <v>1646.0220079851981</v>
          </cell>
          <cell r="O36">
            <v>1646.0220079851981</v>
          </cell>
          <cell r="P36">
            <v>1646.0220079851981</v>
          </cell>
          <cell r="T36">
            <v>33</v>
          </cell>
          <cell r="U36" t="str">
            <v>Outdoor Lights</v>
          </cell>
          <cell r="X36">
            <v>658.52565975265361</v>
          </cell>
          <cell r="Y36">
            <v>703.12591294186382</v>
          </cell>
          <cell r="Z36">
            <v>1730.0029214139645</v>
          </cell>
          <cell r="AA36">
            <v>1719.3494984906029</v>
          </cell>
          <cell r="AB36">
            <v>1719.3494984906029</v>
          </cell>
          <cell r="AC36">
            <v>1719.3494984906029</v>
          </cell>
          <cell r="AD36">
            <v>1719</v>
          </cell>
          <cell r="AE36">
            <v>1719</v>
          </cell>
          <cell r="AF36">
            <v>1643</v>
          </cell>
          <cell r="AG36">
            <v>1719.3709221930078</v>
          </cell>
          <cell r="AH36">
            <v>1719.3494984906029</v>
          </cell>
          <cell r="AI36">
            <v>1719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G37"/>
          <cell r="H37"/>
          <cell r="I37"/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/>
          <cell r="O37"/>
          <cell r="P37"/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/>
        </row>
        <row r="38">
          <cell r="A38">
            <v>35</v>
          </cell>
          <cell r="B38" t="str">
            <v>Unbilled</v>
          </cell>
          <cell r="D38">
            <v>-9846.1388645437692</v>
          </cell>
          <cell r="E38">
            <v>-13496.932515337425</v>
          </cell>
          <cell r="F38">
            <v>54476.579998052395</v>
          </cell>
          <cell r="G38">
            <v>-4500.925114422047</v>
          </cell>
          <cell r="H38">
            <v>-46324.861232836694</v>
          </cell>
          <cell r="I38">
            <v>0</v>
          </cell>
          <cell r="J38"/>
          <cell r="K38"/>
          <cell r="L38"/>
          <cell r="M38"/>
          <cell r="N38"/>
          <cell r="O38"/>
          <cell r="P38"/>
          <cell r="T38">
            <v>35</v>
          </cell>
          <cell r="U38" t="str">
            <v>Unbilled</v>
          </cell>
          <cell r="X38">
            <v>-37552.919466355052</v>
          </cell>
          <cell r="Y38">
            <v>-6642.0294089005747</v>
          </cell>
          <cell r="Z38">
            <v>-38151.786931541537</v>
          </cell>
          <cell r="AA38">
            <v>42748.992112182299</v>
          </cell>
          <cell r="AB38">
            <v>-0.2434511636965625</v>
          </cell>
          <cell r="AC38">
            <v>-70643.684876813713</v>
          </cell>
          <cell r="AD38">
            <v>-30925.11442204694</v>
          </cell>
          <cell r="AE38">
            <v>14440.5492258253</v>
          </cell>
          <cell r="AF38">
            <v>-26304.411335086184</v>
          </cell>
          <cell r="AG38">
            <v>40994.254552536768</v>
          </cell>
          <cell r="AH38">
            <v>22380.952380952382</v>
          </cell>
          <cell r="AI38"/>
        </row>
        <row r="39">
          <cell r="A39">
            <v>36</v>
          </cell>
          <cell r="B39" t="str">
            <v>Commercial Small Transp</v>
          </cell>
          <cell r="D39">
            <v>363403.39334283565</v>
          </cell>
          <cell r="E39">
            <v>35412</v>
          </cell>
          <cell r="F39">
            <v>33968</v>
          </cell>
          <cell r="G39">
            <v>33572</v>
          </cell>
          <cell r="H39">
            <v>30725</v>
          </cell>
          <cell r="I39">
            <v>27724</v>
          </cell>
          <cell r="J39">
            <v>28532.957444736585</v>
          </cell>
          <cell r="K39">
            <v>25955.32865907099</v>
          </cell>
          <cell r="L39">
            <v>26129</v>
          </cell>
          <cell r="M39">
            <v>28691</v>
          </cell>
          <cell r="N39">
            <v>28617.274051765442</v>
          </cell>
          <cell r="O39">
            <v>31648.748661018599</v>
          </cell>
          <cell r="P39">
            <v>32428.084526244034</v>
          </cell>
          <cell r="T39">
            <v>36</v>
          </cell>
          <cell r="U39" t="str">
            <v>Commercial Small Transp</v>
          </cell>
          <cell r="X39">
            <v>27997.728113740388</v>
          </cell>
          <cell r="Y39">
            <v>28757.139935728894</v>
          </cell>
          <cell r="Z39">
            <v>27548.16535203041</v>
          </cell>
          <cell r="AA39">
            <v>25475.021910604733</v>
          </cell>
          <cell r="AB39">
            <v>22867.465186483591</v>
          </cell>
          <cell r="AC39">
            <v>22786.834161067291</v>
          </cell>
          <cell r="AD39">
            <v>23388</v>
          </cell>
          <cell r="AE39">
            <v>22308</v>
          </cell>
          <cell r="AF39">
            <v>23750</v>
          </cell>
          <cell r="AG39">
            <v>23212.879540364214</v>
          </cell>
          <cell r="AH39">
            <v>25507.449605609116</v>
          </cell>
          <cell r="AI39">
            <v>30419</v>
          </cell>
        </row>
        <row r="40">
          <cell r="A40">
            <v>37</v>
          </cell>
          <cell r="B40" t="str">
            <v>Commercial Large Transp</v>
          </cell>
          <cell r="D40">
            <v>2969654.4036420295</v>
          </cell>
          <cell r="E40">
            <v>258799</v>
          </cell>
          <cell r="F40">
            <v>249821</v>
          </cell>
          <cell r="G40">
            <v>259558</v>
          </cell>
          <cell r="H40">
            <v>244799</v>
          </cell>
          <cell r="I40">
            <v>229174</v>
          </cell>
          <cell r="J40">
            <v>248358.84019865617</v>
          </cell>
          <cell r="K40">
            <v>242306.58584088032</v>
          </cell>
          <cell r="L40">
            <v>239021</v>
          </cell>
          <cell r="M40">
            <v>226147</v>
          </cell>
          <cell r="N40">
            <v>246655.76005453305</v>
          </cell>
          <cell r="O40">
            <v>251051.61164670368</v>
          </cell>
          <cell r="P40">
            <v>273962.6059012562</v>
          </cell>
          <cell r="T40">
            <v>37</v>
          </cell>
          <cell r="U40" t="str">
            <v>Commercial Large Transp</v>
          </cell>
          <cell r="X40">
            <v>249499.89190768322</v>
          </cell>
          <cell r="Y40">
            <v>238378.83727724216</v>
          </cell>
          <cell r="Z40">
            <v>236162.29330996209</v>
          </cell>
          <cell r="AA40">
            <v>225203.71993378128</v>
          </cell>
          <cell r="AB40">
            <v>204986.46411529847</v>
          </cell>
          <cell r="AC40">
            <v>199713.4092900964</v>
          </cell>
          <cell r="AD40">
            <v>209902</v>
          </cell>
          <cell r="AE40">
            <v>201860</v>
          </cell>
          <cell r="AF40">
            <v>196681</v>
          </cell>
          <cell r="AG40">
            <v>202063.79199532547</v>
          </cell>
          <cell r="AH40">
            <v>207554.67913136625</v>
          </cell>
          <cell r="AI40">
            <v>229131</v>
          </cell>
        </row>
        <row r="41">
          <cell r="A41">
            <v>38</v>
          </cell>
          <cell r="B41" t="str">
            <v>Interruptible Transp</v>
          </cell>
          <cell r="D41">
            <v>717831.7255818483</v>
          </cell>
          <cell r="E41">
            <v>60843</v>
          </cell>
          <cell r="F41">
            <v>61828</v>
          </cell>
          <cell r="G41">
            <v>62295</v>
          </cell>
          <cell r="H41">
            <v>60962</v>
          </cell>
          <cell r="I41">
            <v>56201</v>
          </cell>
          <cell r="J41">
            <v>51562.414061739219</v>
          </cell>
          <cell r="K41">
            <v>53369.802317655078</v>
          </cell>
          <cell r="L41">
            <v>53377</v>
          </cell>
          <cell r="M41">
            <v>56234</v>
          </cell>
          <cell r="N41">
            <v>58200.311617489533</v>
          </cell>
          <cell r="O41">
            <v>80125.815561398384</v>
          </cell>
          <cell r="P41">
            <v>62833.382023566075</v>
          </cell>
          <cell r="T41">
            <v>38</v>
          </cell>
          <cell r="U41" t="str">
            <v>Interruptible Transp</v>
          </cell>
          <cell r="X41">
            <v>60925.682150160683</v>
          </cell>
          <cell r="Y41">
            <v>62240.458661992408</v>
          </cell>
          <cell r="Z41">
            <v>66098.528581166625</v>
          </cell>
          <cell r="AA41">
            <v>58713.506670561881</v>
          </cell>
          <cell r="AB41">
            <v>52889.765313078198</v>
          </cell>
          <cell r="AC41">
            <v>105399.94157172072</v>
          </cell>
          <cell r="AD41">
            <v>47184</v>
          </cell>
          <cell r="AE41">
            <v>54030</v>
          </cell>
          <cell r="AF41">
            <v>45417</v>
          </cell>
          <cell r="AG41">
            <v>56369.941571720716</v>
          </cell>
          <cell r="AH41">
            <v>59120.849157658973</v>
          </cell>
          <cell r="AI41">
            <v>56750</v>
          </cell>
        </row>
        <row r="42">
          <cell r="A42">
            <v>39</v>
          </cell>
          <cell r="D42">
            <v>7366121.6585098431</v>
          </cell>
          <cell r="E42">
            <v>734219.06748466264</v>
          </cell>
          <cell r="F42">
            <v>799172.57999805245</v>
          </cell>
          <cell r="G42">
            <v>719435.07488557789</v>
          </cell>
          <cell r="H42">
            <v>592877.13876716327</v>
          </cell>
          <cell r="I42">
            <v>581364</v>
          </cell>
          <cell r="J42">
            <v>551735.5623721882</v>
          </cell>
          <cell r="K42">
            <v>521159.10994254553</v>
          </cell>
          <cell r="L42">
            <v>500515</v>
          </cell>
          <cell r="M42">
            <v>513657</v>
          </cell>
          <cell r="N42">
            <v>548904.83856632374</v>
          </cell>
          <cell r="O42">
            <v>624008.08257863473</v>
          </cell>
          <cell r="P42">
            <v>679074.20391469472</v>
          </cell>
          <cell r="T42">
            <v>39</v>
          </cell>
          <cell r="U42"/>
          <cell r="V42"/>
          <cell r="W42"/>
          <cell r="X42">
            <v>726977.69208296773</v>
          </cell>
          <cell r="Y42">
            <v>804601.44220469368</v>
          </cell>
          <cell r="Z42">
            <v>691471.85120265232</v>
          </cell>
          <cell r="AA42">
            <v>671504.56714383094</v>
          </cell>
          <cell r="AB42">
            <v>553298.71457785566</v>
          </cell>
          <cell r="AC42">
            <v>476247.15162138472</v>
          </cell>
          <cell r="AD42">
            <v>467911.88557795307</v>
          </cell>
          <cell r="AE42">
            <v>507131.54922582529</v>
          </cell>
          <cell r="AF42">
            <v>449704.58866491378</v>
          </cell>
          <cell r="AG42">
            <v>545601.23283669271</v>
          </cell>
          <cell r="AH42">
            <v>561240.82189112867</v>
          </cell>
          <cell r="AI42">
            <v>628169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675</v>
          </cell>
          <cell r="F45">
            <v>670</v>
          </cell>
          <cell r="G45">
            <v>677</v>
          </cell>
          <cell r="H45">
            <v>671</v>
          </cell>
          <cell r="I45">
            <v>670</v>
          </cell>
          <cell r="J45">
            <v>672</v>
          </cell>
          <cell r="K45">
            <v>669</v>
          </cell>
          <cell r="L45">
            <v>670</v>
          </cell>
          <cell r="M45">
            <v>674</v>
          </cell>
          <cell r="N45">
            <v>670</v>
          </cell>
          <cell r="O45">
            <v>670</v>
          </cell>
          <cell r="P45">
            <v>675</v>
          </cell>
          <cell r="T45">
            <v>42</v>
          </cell>
          <cell r="U45" t="str">
            <v>TS1 - RS</v>
          </cell>
          <cell r="X45">
            <v>674</v>
          </cell>
          <cell r="Y45">
            <v>678</v>
          </cell>
          <cell r="Z45">
            <v>678</v>
          </cell>
          <cell r="AA45">
            <v>681</v>
          </cell>
          <cell r="AB45">
            <v>679</v>
          </cell>
          <cell r="AC45">
            <v>682</v>
          </cell>
          <cell r="AD45">
            <v>676</v>
          </cell>
          <cell r="AE45">
            <v>672</v>
          </cell>
          <cell r="AF45">
            <v>666</v>
          </cell>
          <cell r="AG45">
            <v>676</v>
          </cell>
          <cell r="AH45">
            <v>671</v>
          </cell>
          <cell r="AI45">
            <v>668</v>
          </cell>
        </row>
        <row r="46">
          <cell r="A46">
            <v>43</v>
          </cell>
          <cell r="B46" t="str">
            <v>TS1 - Com</v>
          </cell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/>
          <cell r="AH46"/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24</v>
          </cell>
          <cell r="L47">
            <v>24</v>
          </cell>
          <cell r="M47">
            <v>24</v>
          </cell>
          <cell r="N47">
            <v>24</v>
          </cell>
          <cell r="O47">
            <v>24</v>
          </cell>
          <cell r="P47">
            <v>25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24</v>
          </cell>
          <cell r="AC47">
            <v>24</v>
          </cell>
          <cell r="AD47">
            <v>24</v>
          </cell>
          <cell r="AE47">
            <v>24</v>
          </cell>
          <cell r="AF47">
            <v>24</v>
          </cell>
          <cell r="AG47">
            <v>24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702</v>
          </cell>
          <cell r="F50">
            <v>698</v>
          </cell>
          <cell r="G50">
            <v>705</v>
          </cell>
          <cell r="H50">
            <v>699</v>
          </cell>
          <cell r="I50">
            <v>698</v>
          </cell>
          <cell r="J50">
            <v>700</v>
          </cell>
          <cell r="K50">
            <v>696</v>
          </cell>
          <cell r="L50">
            <v>697</v>
          </cell>
          <cell r="M50">
            <v>701</v>
          </cell>
          <cell r="N50">
            <v>697</v>
          </cell>
          <cell r="O50">
            <v>697</v>
          </cell>
          <cell r="P50">
            <v>703</v>
          </cell>
          <cell r="T50">
            <v>47</v>
          </cell>
          <cell r="U50"/>
          <cell r="V50"/>
          <cell r="W50"/>
          <cell r="X50">
            <v>701</v>
          </cell>
          <cell r="Y50">
            <v>705</v>
          </cell>
          <cell r="Z50">
            <v>705</v>
          </cell>
          <cell r="AA50">
            <v>708</v>
          </cell>
          <cell r="AB50">
            <v>706</v>
          </cell>
          <cell r="AC50">
            <v>709</v>
          </cell>
          <cell r="AD50">
            <v>703</v>
          </cell>
          <cell r="AE50">
            <v>699</v>
          </cell>
          <cell r="AF50">
            <v>693</v>
          </cell>
          <cell r="AG50">
            <v>703</v>
          </cell>
          <cell r="AH50">
            <v>697</v>
          </cell>
          <cell r="AI50">
            <v>694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11015.757133119097</v>
          </cell>
          <cell r="E53">
            <v>1123</v>
          </cell>
          <cell r="F53">
            <v>1008</v>
          </cell>
          <cell r="G53">
            <v>1056</v>
          </cell>
          <cell r="H53">
            <v>810</v>
          </cell>
          <cell r="I53">
            <v>680</v>
          </cell>
          <cell r="J53">
            <v>1145.7220761515241</v>
          </cell>
          <cell r="K53">
            <v>798</v>
          </cell>
          <cell r="L53">
            <v>835</v>
          </cell>
          <cell r="M53">
            <v>848.76813711169541</v>
          </cell>
          <cell r="N53">
            <v>851.0078878177037</v>
          </cell>
          <cell r="O53">
            <v>846.82052780212291</v>
          </cell>
          <cell r="P53">
            <v>1013.4385042360502</v>
          </cell>
          <cell r="T53">
            <v>50</v>
          </cell>
          <cell r="U53" t="str">
            <v>TS1 - RS</v>
          </cell>
          <cell r="V53"/>
          <cell r="W53"/>
          <cell r="X53">
            <v>1199.1128639594897</v>
          </cell>
          <cell r="Y53">
            <v>1193.3781283474534</v>
          </cell>
          <cell r="Z53">
            <v>1064.6684195150453</v>
          </cell>
          <cell r="AA53">
            <v>910.9377738825591</v>
          </cell>
          <cell r="AB53">
            <v>878.46917908267596</v>
          </cell>
          <cell r="AC53">
            <v>817.50900769305679</v>
          </cell>
          <cell r="AD53">
            <v>871</v>
          </cell>
          <cell r="AE53">
            <v>852</v>
          </cell>
          <cell r="AF53">
            <v>891</v>
          </cell>
          <cell r="AG53">
            <v>847.40481059499461</v>
          </cell>
          <cell r="AH53">
            <v>820.72256305385133</v>
          </cell>
          <cell r="AI53">
            <v>1138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T54">
            <v>51</v>
          </cell>
          <cell r="U54" t="str">
            <v>TS1 - Com</v>
          </cell>
          <cell r="X54"/>
          <cell r="Y54"/>
          <cell r="Z54"/>
          <cell r="AA54"/>
          <cell r="AB54"/>
          <cell r="AC54"/>
          <cell r="AD54">
            <v>0</v>
          </cell>
          <cell r="AE54">
            <v>0</v>
          </cell>
          <cell r="AF54">
            <v>0</v>
          </cell>
          <cell r="AG54"/>
          <cell r="AH54"/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7297.0313565098841</v>
          </cell>
          <cell r="E55">
            <v>473</v>
          </cell>
          <cell r="F55">
            <v>670</v>
          </cell>
          <cell r="G55">
            <v>342</v>
          </cell>
          <cell r="H55">
            <v>1078</v>
          </cell>
          <cell r="I55">
            <v>678</v>
          </cell>
          <cell r="J55">
            <v>761.21530820917326</v>
          </cell>
          <cell r="K55">
            <v>630</v>
          </cell>
          <cell r="L55">
            <v>684</v>
          </cell>
          <cell r="M55">
            <v>653.81244522348811</v>
          </cell>
          <cell r="N55">
            <v>678.35232252410162</v>
          </cell>
          <cell r="O55">
            <v>542.31181225046259</v>
          </cell>
          <cell r="P55">
            <v>106.33946830265849</v>
          </cell>
          <cell r="T55">
            <v>52</v>
          </cell>
          <cell r="U55" t="str">
            <v>TS2</v>
          </cell>
          <cell r="X55">
            <v>689.858798325056</v>
          </cell>
          <cell r="Y55">
            <v>605.67728113740384</v>
          </cell>
          <cell r="Z55">
            <v>684.34414256500145</v>
          </cell>
          <cell r="AA55">
            <v>602.0888109845165</v>
          </cell>
          <cell r="AB55">
            <v>540.9484857337618</v>
          </cell>
          <cell r="AC55">
            <v>483.00710877397995</v>
          </cell>
          <cell r="AD55">
            <v>572</v>
          </cell>
          <cell r="AE55">
            <v>544</v>
          </cell>
          <cell r="AF55">
            <v>630</v>
          </cell>
          <cell r="AG55">
            <v>649.13818288051414</v>
          </cell>
          <cell r="AH55">
            <v>566.75430908559747</v>
          </cell>
          <cell r="AI55">
            <v>832</v>
          </cell>
        </row>
        <row r="56">
          <cell r="A56">
            <v>53</v>
          </cell>
          <cell r="B56" t="str">
            <v>TS3</v>
          </cell>
          <cell r="D56">
            <v>178.10039925990847</v>
          </cell>
          <cell r="E56">
            <v>16</v>
          </cell>
          <cell r="F56">
            <v>9</v>
          </cell>
          <cell r="G56">
            <v>24</v>
          </cell>
          <cell r="H56">
            <v>14</v>
          </cell>
          <cell r="I56">
            <v>14</v>
          </cell>
          <cell r="J56">
            <v>15.818482812347842</v>
          </cell>
          <cell r="K56">
            <v>23</v>
          </cell>
          <cell r="L56">
            <v>17</v>
          </cell>
          <cell r="M56">
            <v>11.296133995520499</v>
          </cell>
          <cell r="N56">
            <v>25.416301489921121</v>
          </cell>
          <cell r="O56">
            <v>0.77904372382899989</v>
          </cell>
          <cell r="P56">
            <v>7.7904372382899991</v>
          </cell>
          <cell r="T56">
            <v>53</v>
          </cell>
          <cell r="U56" t="str">
            <v>TS3</v>
          </cell>
          <cell r="X56">
            <v>21.257181809329047</v>
          </cell>
          <cell r="Y56">
            <v>18.988216963677086</v>
          </cell>
          <cell r="Z56">
            <v>20.341805433829972</v>
          </cell>
          <cell r="AA56">
            <v>17.782646801051712</v>
          </cell>
          <cell r="AB56">
            <v>8.9590028240334991</v>
          </cell>
          <cell r="AC56">
            <v>10.322329340734248</v>
          </cell>
          <cell r="AD56">
            <v>12</v>
          </cell>
          <cell r="AE56">
            <v>12</v>
          </cell>
          <cell r="AF56">
            <v>10</v>
          </cell>
          <cell r="AG56">
            <v>4.6742623429739991</v>
          </cell>
          <cell r="AH56">
            <v>11.003992599084624</v>
          </cell>
          <cell r="AI56">
            <v>16</v>
          </cell>
        </row>
        <row r="57">
          <cell r="A57">
            <v>54</v>
          </cell>
          <cell r="B57" t="str">
            <v>TS4</v>
          </cell>
          <cell r="D57">
            <v>131184.12104391857</v>
          </cell>
          <cell r="E57">
            <v>0</v>
          </cell>
          <cell r="F57">
            <v>1704</v>
          </cell>
          <cell r="G57">
            <v>38465</v>
          </cell>
          <cell r="H57">
            <v>12363</v>
          </cell>
          <cell r="I57">
            <v>4954</v>
          </cell>
          <cell r="J57">
            <v>11203.086960755672</v>
          </cell>
          <cell r="K57">
            <v>21467</v>
          </cell>
          <cell r="L57">
            <v>13178</v>
          </cell>
          <cell r="M57">
            <v>16329.632875645146</v>
          </cell>
          <cell r="N57">
            <v>6520.4985879832502</v>
          </cell>
          <cell r="O57">
            <v>3958.1263998441914</v>
          </cell>
          <cell r="P57">
            <v>1041.7762196903302</v>
          </cell>
          <cell r="T57">
            <v>54</v>
          </cell>
          <cell r="U57" t="str">
            <v>TS4</v>
          </cell>
          <cell r="X57">
            <v>47690.68166325835</v>
          </cell>
          <cell r="Y57">
            <v>54873.618658097177</v>
          </cell>
          <cell r="Z57">
            <v>0</v>
          </cell>
          <cell r="AA57">
            <v>23823.078196513779</v>
          </cell>
          <cell r="AB57">
            <v>42378.420488849937</v>
          </cell>
          <cell r="AC57">
            <v>13224.656733859189</v>
          </cell>
          <cell r="AD57">
            <v>7936</v>
          </cell>
          <cell r="AE57">
            <v>12526</v>
          </cell>
          <cell r="AF57">
            <v>13482</v>
          </cell>
          <cell r="AG57">
            <v>8891.4207809913332</v>
          </cell>
          <cell r="AH57">
            <v>12420.391469471224</v>
          </cell>
          <cell r="AI57">
            <v>15895</v>
          </cell>
        </row>
        <row r="58">
          <cell r="A58">
            <v>55</v>
          </cell>
          <cell r="D58">
            <v>149675.00993280747</v>
          </cell>
          <cell r="E58">
            <v>1612</v>
          </cell>
          <cell r="F58">
            <v>3391</v>
          </cell>
          <cell r="G58">
            <v>39887</v>
          </cell>
          <cell r="H58">
            <v>14265</v>
          </cell>
          <cell r="I58">
            <v>6326</v>
          </cell>
          <cell r="J58">
            <v>13125.842827928718</v>
          </cell>
          <cell r="K58">
            <v>22918</v>
          </cell>
          <cell r="L58">
            <v>14714</v>
          </cell>
          <cell r="M58">
            <v>17843.50959197585</v>
          </cell>
          <cell r="N58">
            <v>8075.2750998149768</v>
          </cell>
          <cell r="O58">
            <v>5348.0377836206062</v>
          </cell>
          <cell r="P58">
            <v>2169.344629467329</v>
          </cell>
          <cell r="T58">
            <v>55</v>
          </cell>
          <cell r="U58"/>
          <cell r="V58"/>
          <cell r="W58"/>
          <cell r="X58">
            <v>49600.910507352222</v>
          </cell>
          <cell r="Y58">
            <v>56691.66228454571</v>
          </cell>
          <cell r="Z58">
            <v>1769.3543675138767</v>
          </cell>
          <cell r="AA58">
            <v>25353.887428181908</v>
          </cell>
          <cell r="AB58">
            <v>43806.797156490407</v>
          </cell>
          <cell r="AC58">
            <v>14535.495179666959</v>
          </cell>
          <cell r="AD58">
            <v>9391</v>
          </cell>
          <cell r="AE58">
            <v>13934</v>
          </cell>
          <cell r="AF58">
            <v>15013</v>
          </cell>
          <cell r="AG58">
            <v>10392.638036809816</v>
          </cell>
          <cell r="AH58">
            <v>13818.872334209758</v>
          </cell>
          <cell r="AI58">
            <v>17881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  <cell r="AA59"/>
          <cell r="AB59"/>
          <cell r="AC59"/>
          <cell r="AD59"/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628</v>
          </cell>
          <cell r="F62">
            <v>622</v>
          </cell>
          <cell r="G62">
            <v>621</v>
          </cell>
          <cell r="H62">
            <v>620</v>
          </cell>
          <cell r="I62">
            <v>614</v>
          </cell>
          <cell r="J62">
            <v>602</v>
          </cell>
          <cell r="K62">
            <v>600</v>
          </cell>
          <cell r="L62">
            <v>603</v>
          </cell>
          <cell r="M62">
            <v>599</v>
          </cell>
          <cell r="N62">
            <v>595</v>
          </cell>
          <cell r="O62">
            <v>600</v>
          </cell>
          <cell r="P62">
            <v>603</v>
          </cell>
          <cell r="T62">
            <v>59</v>
          </cell>
          <cell r="U62" t="str">
            <v>Residential</v>
          </cell>
          <cell r="V62"/>
          <cell r="W62"/>
          <cell r="X62">
            <v>655</v>
          </cell>
          <cell r="Y62">
            <v>650</v>
          </cell>
          <cell r="Z62">
            <v>657</v>
          </cell>
          <cell r="AA62">
            <v>647</v>
          </cell>
          <cell r="AB62">
            <v>636</v>
          </cell>
          <cell r="AC62">
            <v>626</v>
          </cell>
          <cell r="AD62">
            <v>614</v>
          </cell>
          <cell r="AE62">
            <v>608</v>
          </cell>
          <cell r="AF62">
            <v>603</v>
          </cell>
          <cell r="AG62">
            <v>599</v>
          </cell>
          <cell r="AH62">
            <v>599</v>
          </cell>
          <cell r="AI62">
            <v>599</v>
          </cell>
        </row>
        <row r="63">
          <cell r="A63">
            <v>60</v>
          </cell>
          <cell r="B63" t="str">
            <v>Commercial</v>
          </cell>
          <cell r="E63">
            <v>19</v>
          </cell>
          <cell r="F63">
            <v>19</v>
          </cell>
          <cell r="G63">
            <v>19</v>
          </cell>
          <cell r="H63">
            <v>19</v>
          </cell>
          <cell r="I63">
            <v>19</v>
          </cell>
          <cell r="J63">
            <v>19</v>
          </cell>
          <cell r="K63">
            <v>19</v>
          </cell>
          <cell r="L63">
            <v>19</v>
          </cell>
          <cell r="M63">
            <v>18</v>
          </cell>
          <cell r="N63">
            <v>18</v>
          </cell>
          <cell r="O63">
            <v>19</v>
          </cell>
          <cell r="P63">
            <v>19</v>
          </cell>
          <cell r="T63">
            <v>60</v>
          </cell>
          <cell r="U63" t="str">
            <v>Commercial</v>
          </cell>
          <cell r="X63">
            <v>4</v>
          </cell>
          <cell r="Y63">
            <v>4</v>
          </cell>
          <cell r="Z63">
            <v>4</v>
          </cell>
          <cell r="AA63">
            <v>4</v>
          </cell>
          <cell r="AB63">
            <v>4</v>
          </cell>
          <cell r="AC63">
            <v>4</v>
          </cell>
          <cell r="AD63">
            <v>4</v>
          </cell>
          <cell r="AE63">
            <v>4</v>
          </cell>
          <cell r="AF63">
            <v>4</v>
          </cell>
          <cell r="AG63">
            <v>4</v>
          </cell>
          <cell r="AH63">
            <v>4</v>
          </cell>
          <cell r="AI63">
            <v>4</v>
          </cell>
        </row>
        <row r="64">
          <cell r="A64">
            <v>61</v>
          </cell>
          <cell r="B64" t="str">
            <v>Commercial Small Transp</v>
          </cell>
          <cell r="E64">
            <v>7</v>
          </cell>
          <cell r="F64">
            <v>7</v>
          </cell>
          <cell r="G64">
            <v>7</v>
          </cell>
          <cell r="H64">
            <v>7</v>
          </cell>
          <cell r="I64">
            <v>7</v>
          </cell>
          <cell r="J64">
            <v>7</v>
          </cell>
          <cell r="K64">
            <v>7</v>
          </cell>
          <cell r="L64">
            <v>7</v>
          </cell>
          <cell r="M64">
            <v>7</v>
          </cell>
          <cell r="N64">
            <v>7</v>
          </cell>
          <cell r="O64">
            <v>7</v>
          </cell>
          <cell r="P64">
            <v>7</v>
          </cell>
          <cell r="T64">
            <v>61</v>
          </cell>
          <cell r="U64" t="str">
            <v>Special Contract</v>
          </cell>
          <cell r="X64">
            <v>22</v>
          </cell>
          <cell r="Y64">
            <v>24</v>
          </cell>
          <cell r="Z64">
            <v>23</v>
          </cell>
          <cell r="AA64">
            <v>23</v>
          </cell>
          <cell r="AB64">
            <v>23</v>
          </cell>
          <cell r="AC64">
            <v>23</v>
          </cell>
          <cell r="AD64">
            <v>23</v>
          </cell>
          <cell r="AE64">
            <v>22</v>
          </cell>
          <cell r="AF64">
            <v>22</v>
          </cell>
          <cell r="AG64">
            <v>22</v>
          </cell>
          <cell r="AH64">
            <v>22</v>
          </cell>
          <cell r="AI64">
            <v>22</v>
          </cell>
        </row>
        <row r="65">
          <cell r="A65">
            <v>62</v>
          </cell>
          <cell r="B65" t="str">
            <v>Other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/>
          <cell r="P65"/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/>
          <cell r="E66">
            <v>654</v>
          </cell>
          <cell r="F66">
            <v>648</v>
          </cell>
          <cell r="G66">
            <v>647</v>
          </cell>
          <cell r="H66">
            <v>646</v>
          </cell>
          <cell r="I66">
            <v>640</v>
          </cell>
          <cell r="J66">
            <v>628</v>
          </cell>
          <cell r="K66">
            <v>626</v>
          </cell>
          <cell r="L66">
            <v>629</v>
          </cell>
          <cell r="M66">
            <v>624</v>
          </cell>
          <cell r="N66">
            <v>620</v>
          </cell>
          <cell r="O66">
            <v>626</v>
          </cell>
          <cell r="P66">
            <v>629</v>
          </cell>
          <cell r="T66">
            <v>63</v>
          </cell>
          <cell r="W66"/>
          <cell r="X66">
            <v>681</v>
          </cell>
          <cell r="Y66">
            <v>678</v>
          </cell>
          <cell r="Z66">
            <v>684</v>
          </cell>
          <cell r="AA66">
            <v>674</v>
          </cell>
          <cell r="AB66">
            <v>663</v>
          </cell>
          <cell r="AC66">
            <v>653</v>
          </cell>
          <cell r="AD66">
            <v>641</v>
          </cell>
          <cell r="AE66">
            <v>634</v>
          </cell>
          <cell r="AF66">
            <v>629</v>
          </cell>
          <cell r="AG66">
            <v>625</v>
          </cell>
          <cell r="AH66">
            <v>625</v>
          </cell>
          <cell r="AI66">
            <v>625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1978</v>
          </cell>
          <cell r="E69">
            <v>842</v>
          </cell>
          <cell r="F69">
            <v>1136</v>
          </cell>
          <cell r="G69">
            <v>859</v>
          </cell>
          <cell r="H69">
            <v>603</v>
          </cell>
          <cell r="I69">
            <v>504</v>
          </cell>
          <cell r="J69">
            <v>489.85198169247246</v>
          </cell>
          <cell r="K69">
            <v>394</v>
          </cell>
          <cell r="L69">
            <v>427</v>
          </cell>
          <cell r="M69">
            <v>451.55321842438406</v>
          </cell>
          <cell r="N69">
            <v>444.44444444444446</v>
          </cell>
          <cell r="O69">
            <v>741.64962508520784</v>
          </cell>
          <cell r="P69">
            <v>882.36439770182096</v>
          </cell>
          <cell r="T69">
            <v>66</v>
          </cell>
          <cell r="U69" t="str">
            <v>Residential</v>
          </cell>
          <cell r="V69"/>
          <cell r="W69"/>
          <cell r="X69">
            <v>1017.2830850131463</v>
          </cell>
          <cell r="Y69">
            <v>1132.7782646801052</v>
          </cell>
          <cell r="Z69">
            <v>938.7389229720518</v>
          </cell>
          <cell r="AA69">
            <v>591.69831531794716</v>
          </cell>
          <cell r="AB69">
            <v>479.585159217061</v>
          </cell>
          <cell r="AC69">
            <v>437.53043139546207</v>
          </cell>
          <cell r="AD69">
            <v>460</v>
          </cell>
          <cell r="AE69">
            <v>436</v>
          </cell>
          <cell r="AF69">
            <v>428</v>
          </cell>
          <cell r="AG69">
            <v>421.65741552244617</v>
          </cell>
          <cell r="AH69">
            <v>435.58282208588957</v>
          </cell>
          <cell r="AI69">
            <v>551</v>
          </cell>
        </row>
        <row r="70">
          <cell r="A70">
            <v>67</v>
          </cell>
          <cell r="B70" t="str">
            <v>Commercial</v>
          </cell>
          <cell r="D70">
            <v>15</v>
          </cell>
          <cell r="E70">
            <v>6</v>
          </cell>
          <cell r="F70">
            <v>9</v>
          </cell>
          <cell r="G70">
            <v>3</v>
          </cell>
          <cell r="H70">
            <v>3</v>
          </cell>
          <cell r="I70">
            <v>1</v>
          </cell>
          <cell r="J70">
            <v>0.20255136819553998</v>
          </cell>
          <cell r="K70">
            <v>1</v>
          </cell>
          <cell r="L70">
            <v>107</v>
          </cell>
          <cell r="M70">
            <v>130.29506281040022</v>
          </cell>
          <cell r="N70">
            <v>223.6829292044016</v>
          </cell>
          <cell r="O70">
            <v>392.83279774077317</v>
          </cell>
          <cell r="P70">
            <v>343.65566267406757</v>
          </cell>
          <cell r="T70">
            <v>67</v>
          </cell>
          <cell r="U70" t="str">
            <v>Commercial</v>
          </cell>
          <cell r="X70">
            <v>2.9369948388353295</v>
          </cell>
          <cell r="Y70">
            <v>5.9304703476482619</v>
          </cell>
          <cell r="Z70">
            <v>0.91148115687992981</v>
          </cell>
          <cell r="AA70">
            <v>0.60765410458661995</v>
          </cell>
          <cell r="AB70">
            <v>0.91148115687992981</v>
          </cell>
          <cell r="AC70">
            <v>1.3633265167007498</v>
          </cell>
          <cell r="AD70">
            <v>1</v>
          </cell>
          <cell r="AE70">
            <v>1</v>
          </cell>
          <cell r="AF70">
            <v>1</v>
          </cell>
          <cell r="AG70">
            <v>0.58428279287174989</v>
          </cell>
          <cell r="AH70">
            <v>0.58428279287174989</v>
          </cell>
          <cell r="AI70">
            <v>0</v>
          </cell>
        </row>
        <row r="71">
          <cell r="A71">
            <v>68</v>
          </cell>
          <cell r="B71" t="str">
            <v>Commercial Small Transp</v>
          </cell>
          <cell r="D71">
            <v>1891</v>
          </cell>
          <cell r="E71">
            <v>944</v>
          </cell>
          <cell r="F71">
            <v>947</v>
          </cell>
          <cell r="G71">
            <v>955</v>
          </cell>
          <cell r="H71">
            <v>707</v>
          </cell>
          <cell r="I71">
            <v>648</v>
          </cell>
          <cell r="J71">
            <v>461.54737559645537</v>
          </cell>
          <cell r="K71">
            <v>248</v>
          </cell>
          <cell r="L71">
            <v>130</v>
          </cell>
          <cell r="M71">
            <v>207.12825007303536</v>
          </cell>
          <cell r="N71">
            <v>192.03427792384846</v>
          </cell>
          <cell r="O71">
            <v>189.01548349401111</v>
          </cell>
          <cell r="P71">
            <v>126.20508326029798</v>
          </cell>
          <cell r="T71">
            <v>68</v>
          </cell>
          <cell r="U71" t="str">
            <v>Special Contract</v>
          </cell>
          <cell r="X71">
            <v>949</v>
          </cell>
          <cell r="Y71">
            <v>950</v>
          </cell>
          <cell r="Z71">
            <v>1027</v>
          </cell>
          <cell r="AA71">
            <v>638</v>
          </cell>
          <cell r="AB71">
            <v>494</v>
          </cell>
          <cell r="AC71">
            <v>396</v>
          </cell>
          <cell r="AD71">
            <v>295</v>
          </cell>
          <cell r="AE71">
            <v>318</v>
          </cell>
          <cell r="AF71">
            <v>304</v>
          </cell>
          <cell r="AG71">
            <v>388.93757912162818</v>
          </cell>
          <cell r="AH71">
            <v>501.21725581848278</v>
          </cell>
          <cell r="AI71">
            <v>851</v>
          </cell>
        </row>
        <row r="72">
          <cell r="A72">
            <v>69</v>
          </cell>
          <cell r="D72">
            <v>3884</v>
          </cell>
          <cell r="E72">
            <v>1792</v>
          </cell>
          <cell r="F72">
            <v>2092</v>
          </cell>
          <cell r="G72">
            <v>1817</v>
          </cell>
          <cell r="H72">
            <v>1313</v>
          </cell>
          <cell r="I72">
            <v>1153</v>
          </cell>
          <cell r="J72">
            <v>951.60190865712343</v>
          </cell>
          <cell r="K72">
            <v>643</v>
          </cell>
          <cell r="L72">
            <v>664</v>
          </cell>
          <cell r="M72">
            <v>788.97653130781964</v>
          </cell>
          <cell r="N72">
            <v>860.1616515726945</v>
          </cell>
          <cell r="O72">
            <v>1323.4979063199921</v>
          </cell>
          <cell r="P72">
            <v>1352.2251436361864</v>
          </cell>
          <cell r="T72">
            <v>69</v>
          </cell>
          <cell r="X72">
            <v>1969.2200798519816</v>
          </cell>
          <cell r="Y72">
            <v>2088.7087350277534</v>
          </cell>
          <cell r="Z72">
            <v>1966.6504041289318</v>
          </cell>
          <cell r="AA72">
            <v>1230.3059694225337</v>
          </cell>
          <cell r="AB72">
            <v>974.49664037394086</v>
          </cell>
          <cell r="AC72">
            <v>834.89375791216276</v>
          </cell>
          <cell r="AD72">
            <v>756</v>
          </cell>
          <cell r="AE72">
            <v>755</v>
          </cell>
          <cell r="AF72">
            <v>733</v>
          </cell>
          <cell r="AG72">
            <v>811.17927743694611</v>
          </cell>
          <cell r="AH72">
            <v>937.38436069724412</v>
          </cell>
          <cell r="AI72">
            <v>1402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/>
          <cell r="V75"/>
          <cell r="W75"/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C76"/>
          <cell r="D76">
            <v>716767</v>
          </cell>
          <cell r="E76">
            <v>59166</v>
          </cell>
          <cell r="F76">
            <v>59334</v>
          </cell>
          <cell r="G76">
            <v>59639</v>
          </cell>
          <cell r="H76">
            <v>59848</v>
          </cell>
          <cell r="I76">
            <v>59662</v>
          </cell>
          <cell r="J76">
            <v>59783</v>
          </cell>
          <cell r="K76">
            <v>59748</v>
          </cell>
          <cell r="L76">
            <v>59653</v>
          </cell>
          <cell r="M76">
            <v>59729</v>
          </cell>
          <cell r="N76">
            <v>59821</v>
          </cell>
          <cell r="O76">
            <v>60029</v>
          </cell>
          <cell r="P76">
            <v>60355</v>
          </cell>
          <cell r="T76">
            <v>73</v>
          </cell>
          <cell r="U76"/>
          <cell r="V76"/>
          <cell r="W76"/>
          <cell r="X76">
            <v>58823</v>
          </cell>
          <cell r="Y76">
            <v>59020</v>
          </cell>
          <cell r="Z76">
            <v>59259</v>
          </cell>
          <cell r="AA76">
            <v>59414</v>
          </cell>
          <cell r="AB76">
            <v>59385</v>
          </cell>
          <cell r="AC76">
            <v>59269.3</v>
          </cell>
          <cell r="AD76">
            <v>58986</v>
          </cell>
          <cell r="AE76">
            <v>58910</v>
          </cell>
          <cell r="AF76">
            <v>58805</v>
          </cell>
          <cell r="AG76">
            <v>58804</v>
          </cell>
          <cell r="AH76">
            <v>58940</v>
          </cell>
          <cell r="AI76">
            <v>59199.7</v>
          </cell>
        </row>
        <row r="77">
          <cell r="A77">
            <v>74</v>
          </cell>
          <cell r="B77" t="str">
            <v>Volume (mcfs)</v>
          </cell>
          <cell r="C77"/>
          <cell r="D77">
            <v>8163554.6300000008</v>
          </cell>
          <cell r="E77">
            <v>910995</v>
          </cell>
          <cell r="F77">
            <v>830694</v>
          </cell>
          <cell r="G77">
            <v>756332</v>
          </cell>
          <cell r="H77">
            <v>749787</v>
          </cell>
          <cell r="I77">
            <v>649554</v>
          </cell>
          <cell r="J77">
            <v>559046</v>
          </cell>
          <cell r="K77">
            <v>567097</v>
          </cell>
          <cell r="L77">
            <v>535585</v>
          </cell>
          <cell r="M77">
            <v>545197.78</v>
          </cell>
          <cell r="N77">
            <v>588866.56000000006</v>
          </cell>
          <cell r="O77">
            <v>682880.23</v>
          </cell>
          <cell r="P77">
            <v>787520.06</v>
          </cell>
          <cell r="T77">
            <v>74</v>
          </cell>
          <cell r="U77"/>
          <cell r="V77"/>
          <cell r="W77"/>
          <cell r="X77">
            <v>961993.65079365089</v>
          </cell>
          <cell r="Y77">
            <v>755963.9692277729</v>
          </cell>
          <cell r="Z77">
            <v>737500.89590028254</v>
          </cell>
          <cell r="AA77">
            <v>805116.50598889857</v>
          </cell>
          <cell r="AB77">
            <v>676926.10770279483</v>
          </cell>
          <cell r="AC77">
            <v>581891.13837764144</v>
          </cell>
          <cell r="AD77">
            <v>548761.82685753237</v>
          </cell>
          <cell r="AE77">
            <v>537896.5819456618</v>
          </cell>
          <cell r="AF77">
            <v>575134.59927938459</v>
          </cell>
          <cell r="AG77">
            <v>620397</v>
          </cell>
          <cell r="AH77">
            <v>702747.24900185014</v>
          </cell>
          <cell r="AI77">
            <v>848298.5392930177</v>
          </cell>
        </row>
        <row r="78">
          <cell r="A78">
            <v>75</v>
          </cell>
          <cell r="B78" t="str">
            <v>Volume (dts) (mcfs*1.0269)</v>
          </cell>
          <cell r="C78"/>
          <cell r="D78">
            <v>8383154</v>
          </cell>
          <cell r="E78">
            <v>935501</v>
          </cell>
          <cell r="F78">
            <v>853040</v>
          </cell>
          <cell r="G78">
            <v>776677</v>
          </cell>
          <cell r="H78">
            <v>769956</v>
          </cell>
          <cell r="I78">
            <v>667027</v>
          </cell>
          <cell r="J78">
            <v>574084</v>
          </cell>
          <cell r="K78">
            <v>582352</v>
          </cell>
          <cell r="L78">
            <v>549992</v>
          </cell>
          <cell r="M78">
            <v>559864</v>
          </cell>
          <cell r="N78">
            <v>604707</v>
          </cell>
          <cell r="O78">
            <v>701250</v>
          </cell>
          <cell r="P78">
            <v>808704</v>
          </cell>
          <cell r="T78">
            <v>75</v>
          </cell>
          <cell r="U78"/>
          <cell r="V78"/>
          <cell r="W78"/>
          <cell r="X78">
            <v>987871</v>
          </cell>
          <cell r="Y78">
            <v>776299</v>
          </cell>
          <cell r="Z78">
            <v>757340</v>
          </cell>
          <cell r="AA78">
            <v>826774</v>
          </cell>
          <cell r="AB78">
            <v>695135</v>
          </cell>
          <cell r="AC78">
            <v>597544</v>
          </cell>
          <cell r="AD78">
            <v>563524</v>
          </cell>
          <cell r="AE78">
            <v>552366</v>
          </cell>
          <cell r="AF78">
            <v>590606</v>
          </cell>
          <cell r="AG78">
            <v>637086</v>
          </cell>
          <cell r="AH78">
            <v>721651</v>
          </cell>
          <cell r="AI78">
            <v>871118</v>
          </cell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A80">
            <v>77</v>
          </cell>
          <cell r="B80" t="str">
            <v>Volume - 2016 -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1308906</v>
          </cell>
          <cell r="E81">
            <v>173938</v>
          </cell>
          <cell r="F81">
            <v>180932</v>
          </cell>
          <cell r="G81">
            <v>152042</v>
          </cell>
          <cell r="H81">
            <v>119342</v>
          </cell>
          <cell r="I81">
            <v>91870</v>
          </cell>
          <cell r="J81">
            <v>78962</v>
          </cell>
          <cell r="K81">
            <v>69734</v>
          </cell>
          <cell r="L81">
            <v>58664</v>
          </cell>
          <cell r="M81">
            <v>68433</v>
          </cell>
          <cell r="N81">
            <v>80905</v>
          </cell>
          <cell r="O81">
            <v>101693</v>
          </cell>
          <cell r="P81">
            <v>132391</v>
          </cell>
          <cell r="T81">
            <v>78</v>
          </cell>
          <cell r="U81" t="str">
            <v>Volumes (in DTs)</v>
          </cell>
          <cell r="W81">
            <v>1247820</v>
          </cell>
          <cell r="X81">
            <v>177433</v>
          </cell>
          <cell r="Y81">
            <v>191097</v>
          </cell>
          <cell r="Z81">
            <v>146435</v>
          </cell>
          <cell r="AA81">
            <v>108264</v>
          </cell>
          <cell r="AB81">
            <v>82149</v>
          </cell>
          <cell r="AC81">
            <v>68015</v>
          </cell>
          <cell r="AD81">
            <v>66207</v>
          </cell>
          <cell r="AE81">
            <v>64253</v>
          </cell>
          <cell r="AF81">
            <v>66717</v>
          </cell>
          <cell r="AG81">
            <v>68887</v>
          </cell>
          <cell r="AH81">
            <v>86280</v>
          </cell>
          <cell r="AI81">
            <v>122083</v>
          </cell>
        </row>
        <row r="82">
          <cell r="A82">
            <v>79</v>
          </cell>
          <cell r="B82" t="str">
            <v>Commercial</v>
          </cell>
          <cell r="D82">
            <v>2133842</v>
          </cell>
          <cell r="E82">
            <v>231812</v>
          </cell>
          <cell r="F82">
            <v>231791</v>
          </cell>
          <cell r="G82">
            <v>228728</v>
          </cell>
          <cell r="H82">
            <v>194092</v>
          </cell>
          <cell r="I82">
            <v>185539</v>
          </cell>
          <cell r="J82">
            <v>152803</v>
          </cell>
          <cell r="K82">
            <v>137056</v>
          </cell>
          <cell r="L82">
            <v>130345</v>
          </cell>
          <cell r="M82">
            <v>141754</v>
          </cell>
          <cell r="N82">
            <v>142604</v>
          </cell>
          <cell r="O82">
            <v>169107</v>
          </cell>
          <cell r="P82">
            <v>188211</v>
          </cell>
          <cell r="T82">
            <v>79</v>
          </cell>
          <cell r="U82" t="str">
            <v>Residential</v>
          </cell>
          <cell r="W82">
            <v>2417819</v>
          </cell>
          <cell r="X82">
            <v>263146</v>
          </cell>
          <cell r="Y82">
            <v>306769</v>
          </cell>
          <cell r="Z82">
            <v>266917</v>
          </cell>
          <cell r="AA82">
            <v>221871</v>
          </cell>
          <cell r="AB82">
            <v>199698</v>
          </cell>
          <cell r="AC82">
            <v>158664</v>
          </cell>
          <cell r="AD82">
            <v>159997</v>
          </cell>
          <cell r="AE82">
            <v>157904</v>
          </cell>
          <cell r="AF82">
            <v>151110</v>
          </cell>
          <cell r="AG82">
            <v>162046</v>
          </cell>
          <cell r="AH82">
            <v>168916</v>
          </cell>
          <cell r="AI82">
            <v>200781</v>
          </cell>
        </row>
        <row r="83">
          <cell r="A83">
            <v>80</v>
          </cell>
          <cell r="B83" t="str">
            <v xml:space="preserve">Industrial </v>
          </cell>
          <cell r="D83">
            <v>4294573</v>
          </cell>
          <cell r="E83">
            <v>364605</v>
          </cell>
          <cell r="F83">
            <v>356664</v>
          </cell>
          <cell r="G83">
            <v>404486</v>
          </cell>
          <cell r="H83">
            <v>358233</v>
          </cell>
          <cell r="I83">
            <v>326609</v>
          </cell>
          <cell r="J83">
            <v>348794</v>
          </cell>
          <cell r="K83">
            <v>352328</v>
          </cell>
          <cell r="L83">
            <v>340628</v>
          </cell>
          <cell r="M83">
            <v>336209</v>
          </cell>
          <cell r="N83">
            <v>349140</v>
          </cell>
          <cell r="O83">
            <v>376651</v>
          </cell>
          <cell r="P83">
            <v>380226</v>
          </cell>
          <cell r="T83">
            <v>80</v>
          </cell>
          <cell r="U83"/>
          <cell r="W83">
            <v>3987899</v>
          </cell>
          <cell r="X83">
            <v>396500</v>
          </cell>
          <cell r="Y83">
            <v>394586</v>
          </cell>
          <cell r="Z83">
            <v>338681</v>
          </cell>
          <cell r="AA83">
            <v>342179</v>
          </cell>
          <cell r="AB83">
            <v>331814</v>
          </cell>
          <cell r="AC83">
            <v>350301</v>
          </cell>
          <cell r="AD83">
            <v>296168</v>
          </cell>
          <cell r="AE83">
            <v>298544</v>
          </cell>
          <cell r="AF83">
            <v>286844</v>
          </cell>
          <cell r="AG83">
            <v>298354</v>
          </cell>
          <cell r="AH83">
            <v>312797</v>
          </cell>
          <cell r="AI83">
            <v>341131</v>
          </cell>
        </row>
        <row r="84">
          <cell r="A84">
            <v>81</v>
          </cell>
          <cell r="B84" t="str">
            <v>Other</v>
          </cell>
          <cell r="D84">
            <v>-4202</v>
          </cell>
          <cell r="E84">
            <v>-12891</v>
          </cell>
          <cell r="F84">
            <v>56914</v>
          </cell>
          <cell r="G84">
            <v>-3641</v>
          </cell>
          <cell r="H84">
            <v>-46845</v>
          </cell>
          <cell r="I84">
            <v>665</v>
          </cell>
          <cell r="J84">
            <v>474</v>
          </cell>
          <cell r="K84">
            <v>255</v>
          </cell>
          <cell r="L84">
            <v>133</v>
          </cell>
          <cell r="M84">
            <v>213</v>
          </cell>
          <cell r="N84">
            <v>197</v>
          </cell>
          <cell r="O84">
            <v>194</v>
          </cell>
          <cell r="P84">
            <v>130</v>
          </cell>
          <cell r="T84">
            <v>81</v>
          </cell>
          <cell r="U84"/>
          <cell r="W84">
            <v>-84763</v>
          </cell>
          <cell r="X84">
            <v>-37589</v>
          </cell>
          <cell r="Y84">
            <v>-5845</v>
          </cell>
          <cell r="Z84">
            <v>-38123</v>
          </cell>
          <cell r="AA84">
            <v>44554</v>
          </cell>
          <cell r="AB84">
            <v>507</v>
          </cell>
          <cell r="AC84">
            <v>-72137</v>
          </cell>
          <cell r="AD84">
            <v>-31454</v>
          </cell>
          <cell r="AE84">
            <v>15156</v>
          </cell>
          <cell r="AF84">
            <v>-26700</v>
          </cell>
          <cell r="AG84">
            <v>42496</v>
          </cell>
          <cell r="AH84">
            <v>23498</v>
          </cell>
          <cell r="AI84">
            <v>874</v>
          </cell>
        </row>
        <row r="85">
          <cell r="A85">
            <v>82</v>
          </cell>
          <cell r="B85" t="str">
            <v>Total Deliveries</v>
          </cell>
          <cell r="C85"/>
          <cell r="D85">
            <v>7733119</v>
          </cell>
          <cell r="E85">
            <v>757464</v>
          </cell>
          <cell r="F85">
            <v>826301</v>
          </cell>
          <cell r="G85">
            <v>781615</v>
          </cell>
          <cell r="H85">
            <v>624822</v>
          </cell>
          <cell r="I85">
            <v>604683</v>
          </cell>
          <cell r="J85">
            <v>581033</v>
          </cell>
          <cell r="K85">
            <v>559373</v>
          </cell>
          <cell r="L85">
            <v>529770</v>
          </cell>
          <cell r="M85">
            <v>546609</v>
          </cell>
          <cell r="N85">
            <v>572846</v>
          </cell>
          <cell r="O85">
            <v>647645</v>
          </cell>
          <cell r="P85">
            <v>700958</v>
          </cell>
          <cell r="T85">
            <v>82</v>
          </cell>
          <cell r="U85">
            <v>0</v>
          </cell>
          <cell r="V85"/>
          <cell r="W85">
            <v>7568775</v>
          </cell>
          <cell r="X85">
            <v>799490</v>
          </cell>
          <cell r="Y85">
            <v>886607</v>
          </cell>
          <cell r="Z85">
            <v>713910</v>
          </cell>
          <cell r="AA85">
            <v>716868</v>
          </cell>
          <cell r="AB85">
            <v>614168</v>
          </cell>
          <cell r="AC85">
            <v>504843</v>
          </cell>
          <cell r="AD85">
            <v>490918</v>
          </cell>
          <cell r="AE85">
            <v>535857</v>
          </cell>
          <cell r="AF85">
            <v>477971</v>
          </cell>
          <cell r="AG85">
            <v>571783</v>
          </cell>
          <cell r="AH85">
            <v>591491</v>
          </cell>
          <cell r="AI85">
            <v>664869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X86"/>
          <cell r="Y86"/>
          <cell r="Z86"/>
          <cell r="AA86"/>
          <cell r="AB86"/>
          <cell r="AC86"/>
          <cell r="AD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X87"/>
          <cell r="Y87"/>
          <cell r="Z87"/>
          <cell r="AA87"/>
          <cell r="AB87"/>
          <cell r="AC87"/>
          <cell r="AD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  <cell r="X88"/>
          <cell r="Y88"/>
          <cell r="Z88"/>
          <cell r="AA88"/>
          <cell r="AB88"/>
          <cell r="AC88"/>
          <cell r="AD88"/>
        </row>
        <row r="89">
          <cell r="A89">
            <v>86</v>
          </cell>
          <cell r="B89" t="str">
            <v>Customers- YTD average cumulative - 2016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- 2015</v>
          </cell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52941</v>
          </cell>
          <cell r="F91">
            <v>52964</v>
          </cell>
          <cell r="G91">
            <v>53044</v>
          </cell>
          <cell r="H91">
            <v>53101</v>
          </cell>
          <cell r="I91">
            <v>53128</v>
          </cell>
          <cell r="J91">
            <v>53165</v>
          </cell>
          <cell r="K91">
            <v>53175</v>
          </cell>
          <cell r="L91">
            <v>53193</v>
          </cell>
          <cell r="M91">
            <v>53215</v>
          </cell>
          <cell r="N91">
            <v>53231</v>
          </cell>
          <cell r="O91">
            <v>53260</v>
          </cell>
          <cell r="P91">
            <v>53300</v>
          </cell>
          <cell r="T91">
            <v>88</v>
          </cell>
          <cell r="U91" t="str">
            <v>Residential</v>
          </cell>
          <cell r="V91"/>
          <cell r="W91"/>
          <cell r="X91">
            <v>51478</v>
          </cell>
          <cell r="Y91">
            <v>51547</v>
          </cell>
          <cell r="Z91">
            <v>51649</v>
          </cell>
          <cell r="AA91">
            <v>51741</v>
          </cell>
          <cell r="AB91">
            <v>51774</v>
          </cell>
          <cell r="AC91">
            <v>51811</v>
          </cell>
          <cell r="AD91">
            <v>51842</v>
          </cell>
          <cell r="AE91">
            <v>51879</v>
          </cell>
          <cell r="AF91">
            <v>51907</v>
          </cell>
          <cell r="AG91">
            <v>51940</v>
          </cell>
          <cell r="AH91">
            <v>51991</v>
          </cell>
          <cell r="AI91">
            <v>52046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4253</v>
          </cell>
          <cell r="F92">
            <v>4259</v>
          </cell>
          <cell r="G92">
            <v>4261</v>
          </cell>
          <cell r="H92">
            <v>4265</v>
          </cell>
          <cell r="I92">
            <v>4266</v>
          </cell>
          <cell r="J92">
            <v>4263</v>
          </cell>
          <cell r="K92">
            <v>4259</v>
          </cell>
          <cell r="L92">
            <v>4254</v>
          </cell>
          <cell r="M92">
            <v>4247</v>
          </cell>
          <cell r="N92">
            <v>4242</v>
          </cell>
          <cell r="O92">
            <v>4238</v>
          </cell>
          <cell r="P92">
            <v>4236</v>
          </cell>
          <cell r="T92">
            <v>89</v>
          </cell>
          <cell r="U92" t="str">
            <v>Commercial</v>
          </cell>
          <cell r="V92"/>
          <cell r="W92"/>
          <cell r="X92">
            <v>4270</v>
          </cell>
          <cell r="Y92">
            <v>4279</v>
          </cell>
          <cell r="Z92">
            <v>4288</v>
          </cell>
          <cell r="AA92">
            <v>4286</v>
          </cell>
          <cell r="AB92">
            <v>4282</v>
          </cell>
          <cell r="AC92">
            <v>4276</v>
          </cell>
          <cell r="AD92">
            <v>4270</v>
          </cell>
          <cell r="AE92">
            <v>4264</v>
          </cell>
          <cell r="AF92">
            <v>4258</v>
          </cell>
          <cell r="AG92">
            <v>4252</v>
          </cell>
          <cell r="AH92">
            <v>4250</v>
          </cell>
          <cell r="AI92">
            <v>4249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1706</v>
          </cell>
          <cell r="F93">
            <v>1712</v>
          </cell>
          <cell r="G93">
            <v>1716</v>
          </cell>
          <cell r="H93">
            <v>1720</v>
          </cell>
          <cell r="I93">
            <v>1725</v>
          </cell>
          <cell r="J93">
            <v>1732</v>
          </cell>
          <cell r="K93">
            <v>1740</v>
          </cell>
          <cell r="L93">
            <v>1750</v>
          </cell>
          <cell r="M93">
            <v>1760</v>
          </cell>
          <cell r="N93">
            <v>1769</v>
          </cell>
          <cell r="O93">
            <v>1777</v>
          </cell>
          <cell r="P93">
            <v>1786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1527</v>
          </cell>
          <cell r="Y93">
            <v>1537</v>
          </cell>
          <cell r="Z93">
            <v>1546</v>
          </cell>
          <cell r="AA93">
            <v>1556</v>
          </cell>
          <cell r="AB93">
            <v>1566</v>
          </cell>
          <cell r="AC93">
            <v>1577</v>
          </cell>
          <cell r="AD93">
            <v>1586</v>
          </cell>
          <cell r="AE93">
            <v>1595</v>
          </cell>
          <cell r="AF93">
            <v>1606</v>
          </cell>
          <cell r="AG93">
            <v>1616</v>
          </cell>
          <cell r="AH93">
            <v>1625</v>
          </cell>
          <cell r="AI93">
            <v>1633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V94"/>
          <cell r="W94"/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58900</v>
          </cell>
          <cell r="F95">
            <v>58935</v>
          </cell>
          <cell r="G95">
            <v>59021</v>
          </cell>
          <cell r="H95">
            <v>59086</v>
          </cell>
          <cell r="I95">
            <v>59119</v>
          </cell>
          <cell r="J95">
            <v>59160</v>
          </cell>
          <cell r="K95">
            <v>59174</v>
          </cell>
          <cell r="L95">
            <v>59197</v>
          </cell>
          <cell r="M95">
            <v>59222</v>
          </cell>
          <cell r="N95">
            <v>59242</v>
          </cell>
          <cell r="O95">
            <v>59275</v>
          </cell>
          <cell r="P95">
            <v>59322</v>
          </cell>
          <cell r="T95">
            <v>92</v>
          </cell>
          <cell r="U95" t="str">
            <v>Total customers</v>
          </cell>
          <cell r="V95"/>
          <cell r="W95"/>
          <cell r="X95">
            <v>57275</v>
          </cell>
          <cell r="Y95">
            <v>57363</v>
          </cell>
          <cell r="Z95">
            <v>57483</v>
          </cell>
          <cell r="AA95">
            <v>57583</v>
          </cell>
          <cell r="AB95">
            <v>57622</v>
          </cell>
          <cell r="AC95">
            <v>57664</v>
          </cell>
          <cell r="AD95">
            <v>57698</v>
          </cell>
          <cell r="AE95">
            <v>57738</v>
          </cell>
          <cell r="AF95">
            <v>57771</v>
          </cell>
          <cell r="AG95">
            <v>57808</v>
          </cell>
          <cell r="AH95">
            <v>57866</v>
          </cell>
          <cell r="AI95">
            <v>57928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- 2016 -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- 2015 -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169382</v>
          </cell>
          <cell r="F99">
            <v>345574</v>
          </cell>
          <cell r="G99">
            <v>493633</v>
          </cell>
          <cell r="H99">
            <v>609849</v>
          </cell>
          <cell r="I99">
            <v>699312</v>
          </cell>
          <cell r="J99">
            <v>776205.98188723344</v>
          </cell>
          <cell r="K99">
            <v>844113.17810887133</v>
          </cell>
          <cell r="L99">
            <v>901240.17810887133</v>
          </cell>
          <cell r="M99">
            <v>967880.49946440745</v>
          </cell>
          <cell r="N99">
            <v>1046666.3598208199</v>
          </cell>
          <cell r="O99">
            <v>1145695.4765799979</v>
          </cell>
          <cell r="P99">
            <v>1274618.4486318044</v>
          </cell>
          <cell r="T99">
            <v>96</v>
          </cell>
          <cell r="U99" t="str">
            <v>Residential</v>
          </cell>
          <cell r="W99"/>
          <cell r="X99">
            <v>172785.19330022397</v>
          </cell>
          <cell r="Y99">
            <v>358876.34725873987</v>
          </cell>
          <cell r="Z99">
            <v>501475.45622748416</v>
          </cell>
          <cell r="AA99">
            <v>606903.30411919707</v>
          </cell>
          <cell r="AB99">
            <v>686900.56383289851</v>
          </cell>
          <cell r="AC99">
            <v>753133.59528678888</v>
          </cell>
          <cell r="AD99">
            <v>817606.59528678888</v>
          </cell>
          <cell r="AE99">
            <v>880176.59528678888</v>
          </cell>
          <cell r="AF99">
            <v>945145.59528678888</v>
          </cell>
          <cell r="AG99">
            <v>1012228.0765410493</v>
          </cell>
          <cell r="AH99">
            <v>1096248.0395364724</v>
          </cell>
          <cell r="AI99">
            <v>1215133.0395364724</v>
          </cell>
        </row>
        <row r="100">
          <cell r="A100">
            <v>97</v>
          </cell>
          <cell r="B100" t="str">
            <v>Commercial</v>
          </cell>
          <cell r="D100"/>
          <cell r="E100">
            <v>225740</v>
          </cell>
          <cell r="F100">
            <v>451459</v>
          </cell>
          <cell r="G100">
            <v>674195</v>
          </cell>
          <cell r="H100">
            <v>863203</v>
          </cell>
          <cell r="I100">
            <v>1043882</v>
          </cell>
          <cell r="J100">
            <v>1192682.1791800566</v>
          </cell>
          <cell r="K100">
            <v>1326148.3760833577</v>
          </cell>
          <cell r="L100">
            <v>1453079.3760833577</v>
          </cell>
          <cell r="M100">
            <v>1591119.7797253872</v>
          </cell>
          <cell r="N100">
            <v>1729988.3160969911</v>
          </cell>
          <cell r="O100">
            <v>1894665.4998539295</v>
          </cell>
          <cell r="P100">
            <v>2077946.2477359043</v>
          </cell>
          <cell r="T100">
            <v>97</v>
          </cell>
          <cell r="U100" t="str">
            <v>Commercial</v>
          </cell>
          <cell r="W100"/>
          <cell r="X100">
            <v>256252.56500146046</v>
          </cell>
          <cell r="Y100">
            <v>554985.19914305164</v>
          </cell>
          <cell r="Z100">
            <v>814909.74583698472</v>
          </cell>
          <cell r="AA100">
            <v>1030968.3396630632</v>
          </cell>
          <cell r="AB100">
            <v>1225435.2166715353</v>
          </cell>
          <cell r="AC100">
            <v>1379942.568896679</v>
          </cell>
          <cell r="AD100">
            <v>1535748.568896679</v>
          </cell>
          <cell r="AE100">
            <v>1689516.568896679</v>
          </cell>
          <cell r="AF100">
            <v>1836668.568896679</v>
          </cell>
          <cell r="AG100">
            <v>1994469.9117732979</v>
          </cell>
          <cell r="AH100">
            <v>2158961.4883630341</v>
          </cell>
          <cell r="AI100">
            <v>2354482.4883630341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355054</v>
          </cell>
          <cell r="F101">
            <v>702375</v>
          </cell>
          <cell r="G101">
            <v>1096265</v>
          </cell>
          <cell r="H101">
            <v>1445114</v>
          </cell>
          <cell r="I101">
            <v>1763167</v>
          </cell>
          <cell r="J101">
            <v>2102824.2986658877</v>
          </cell>
          <cell r="K101">
            <v>2445923.0154834939</v>
          </cell>
          <cell r="L101">
            <v>2777628.0154834939</v>
          </cell>
          <cell r="M101">
            <v>3105029.648359139</v>
          </cell>
          <cell r="N101">
            <v>3445023.4926709104</v>
          </cell>
          <cell r="O101">
            <v>3811807.7949398751</v>
          </cell>
          <cell r="P101">
            <v>4182073.6436106316</v>
          </cell>
          <cell r="T101">
            <v>98</v>
          </cell>
          <cell r="U101" t="str">
            <v xml:space="preserve">Industrial </v>
          </cell>
          <cell r="W101"/>
          <cell r="X101">
            <v>386113.98383484263</v>
          </cell>
          <cell r="Y101">
            <v>770364.03836790333</v>
          </cell>
          <cell r="Z101">
            <v>1100173.0256110625</v>
          </cell>
          <cell r="AA101">
            <v>1433388.3523225242</v>
          </cell>
          <cell r="AB101">
            <v>1756510.4674262344</v>
          </cell>
          <cell r="AC101">
            <v>2097635.3091829782</v>
          </cell>
          <cell r="AD101">
            <v>2386045.3091829782</v>
          </cell>
          <cell r="AE101">
            <v>2676769.3091829782</v>
          </cell>
          <cell r="AF101">
            <v>2956099.3091829782</v>
          </cell>
          <cell r="AG101">
            <v>3246637.3430713797</v>
          </cell>
          <cell r="AH101">
            <v>3551240.7124354853</v>
          </cell>
          <cell r="AI101">
            <v>3883435.7124354853</v>
          </cell>
        </row>
        <row r="102">
          <cell r="A102">
            <v>99</v>
          </cell>
          <cell r="B102" t="str">
            <v>Other</v>
          </cell>
          <cell r="D102"/>
          <cell r="E102">
            <v>-12552.932515337425</v>
          </cell>
          <cell r="F102">
            <v>42870.647482714972</v>
          </cell>
          <cell r="G102">
            <v>39324.722368292925</v>
          </cell>
          <cell r="H102">
            <v>-6293.1388645437692</v>
          </cell>
          <cell r="I102">
            <v>-5645.1388645437692</v>
          </cell>
          <cell r="J102">
            <v>-5183.5914889473133</v>
          </cell>
          <cell r="K102">
            <v>-4935.5914889473133</v>
          </cell>
          <cell r="L102">
            <v>-4805.5914889473133</v>
          </cell>
          <cell r="M102">
            <v>-4598.4632388742775</v>
          </cell>
          <cell r="N102">
            <v>-4406.4289609504294</v>
          </cell>
          <cell r="O102">
            <v>-4217.4134774564181</v>
          </cell>
          <cell r="P102">
            <v>-4091.20839419612</v>
          </cell>
          <cell r="T102">
            <v>99</v>
          </cell>
          <cell r="U102" t="str">
            <v>Other</v>
          </cell>
          <cell r="W102"/>
          <cell r="X102">
            <v>-36603.919466355052</v>
          </cell>
          <cell r="Y102">
            <v>-42295.948875255628</v>
          </cell>
          <cell r="Z102">
            <v>-79420.735806797165</v>
          </cell>
          <cell r="AA102">
            <v>-36033.743694614866</v>
          </cell>
          <cell r="AB102">
            <v>-35539.987145778563</v>
          </cell>
          <cell r="AC102">
            <v>-105787.67202259228</v>
          </cell>
          <cell r="AD102">
            <v>-136417.78644463921</v>
          </cell>
          <cell r="AE102">
            <v>-121659.23721881391</v>
          </cell>
          <cell r="AF102">
            <v>-147659.6485539001</v>
          </cell>
          <cell r="AG102">
            <v>-106276.4564222417</v>
          </cell>
          <cell r="AH102">
            <v>-83394.286785470831</v>
          </cell>
          <cell r="AI102">
            <v>-82543.286785470831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737623.06748466252</v>
          </cell>
          <cell r="F103">
            <v>1542278.6474827151</v>
          </cell>
          <cell r="G103">
            <v>2303417.722368293</v>
          </cell>
          <cell r="H103">
            <v>2911872.8611354562</v>
          </cell>
          <cell r="I103">
            <v>3500715.8611354562</v>
          </cell>
          <cell r="J103">
            <v>4066528.8682442307</v>
          </cell>
          <cell r="K103">
            <v>4611248.9781867759</v>
          </cell>
          <cell r="L103">
            <v>5127141.9781867759</v>
          </cell>
          <cell r="M103">
            <v>5659431.4643100593</v>
          </cell>
          <cell r="N103">
            <v>6217271.7396277711</v>
          </cell>
          <cell r="O103">
            <v>6847951.3578963466</v>
          </cell>
          <cell r="P103">
            <v>7530547.1315841451</v>
          </cell>
          <cell r="T103">
            <v>100</v>
          </cell>
          <cell r="U103" t="str">
            <v>Total Deliveries</v>
          </cell>
          <cell r="V103"/>
          <cell r="W103"/>
          <cell r="X103">
            <v>778547.82267017209</v>
          </cell>
          <cell r="Y103">
            <v>1641929.6358944392</v>
          </cell>
          <cell r="Z103">
            <v>2337137.4918687344</v>
          </cell>
          <cell r="AA103">
            <v>3035226.2524101692</v>
          </cell>
          <cell r="AB103">
            <v>3633306.2607848896</v>
          </cell>
          <cell r="AC103">
            <v>4124923.8013438536</v>
          </cell>
          <cell r="AD103">
            <v>4602982.686921807</v>
          </cell>
          <cell r="AE103">
            <v>5124803.2361476319</v>
          </cell>
          <cell r="AF103">
            <v>5590253.8248125454</v>
          </cell>
          <cell r="AG103">
            <v>6147058.8749634856</v>
          </cell>
          <cell r="AH103">
            <v>6723055.9535495201</v>
          </cell>
          <cell r="AI103">
            <v>7370507.9535495201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- 2016 -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- 2015 -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173938</v>
          </cell>
          <cell r="F107">
            <v>354870</v>
          </cell>
          <cell r="G107">
            <v>506912</v>
          </cell>
          <cell r="H107">
            <v>626254</v>
          </cell>
          <cell r="I107">
            <v>718124</v>
          </cell>
          <cell r="J107">
            <v>797086</v>
          </cell>
          <cell r="K107">
            <v>866820</v>
          </cell>
          <cell r="L107">
            <v>925484</v>
          </cell>
          <cell r="M107">
            <v>993917</v>
          </cell>
          <cell r="N107">
            <v>1074822</v>
          </cell>
          <cell r="O107">
            <v>1176515</v>
          </cell>
          <cell r="P107">
            <v>1308906</v>
          </cell>
          <cell r="T107">
            <v>104</v>
          </cell>
          <cell r="U107" t="str">
            <v>Residential</v>
          </cell>
          <cell r="X107">
            <v>177433</v>
          </cell>
          <cell r="Y107">
            <v>368530</v>
          </cell>
          <cell r="Z107">
            <v>514965</v>
          </cell>
          <cell r="AA107">
            <v>623229</v>
          </cell>
          <cell r="AB107">
            <v>705378</v>
          </cell>
          <cell r="AC107">
            <v>773393</v>
          </cell>
          <cell r="AD107">
            <v>839600</v>
          </cell>
          <cell r="AE107">
            <v>903853</v>
          </cell>
          <cell r="AF107">
            <v>970570</v>
          </cell>
          <cell r="AG107">
            <v>1039457</v>
          </cell>
          <cell r="AH107">
            <v>1125737</v>
          </cell>
          <cell r="AI107">
            <v>1247820</v>
          </cell>
        </row>
        <row r="108">
          <cell r="A108">
            <v>105</v>
          </cell>
          <cell r="B108" t="str">
            <v>Commercial</v>
          </cell>
          <cell r="D108"/>
          <cell r="E108">
            <v>231812</v>
          </cell>
          <cell r="F108">
            <v>463603</v>
          </cell>
          <cell r="G108">
            <v>692331</v>
          </cell>
          <cell r="H108">
            <v>886423</v>
          </cell>
          <cell r="I108">
            <v>1071962</v>
          </cell>
          <cell r="J108">
            <v>1224765</v>
          </cell>
          <cell r="K108">
            <v>1361821</v>
          </cell>
          <cell r="L108">
            <v>1492166</v>
          </cell>
          <cell r="M108">
            <v>1633920</v>
          </cell>
          <cell r="N108">
            <v>1776524</v>
          </cell>
          <cell r="O108">
            <v>1945631</v>
          </cell>
          <cell r="P108">
            <v>2133842</v>
          </cell>
          <cell r="T108">
            <v>105</v>
          </cell>
          <cell r="U108" t="str">
            <v>Commercial</v>
          </cell>
          <cell r="X108">
            <v>263146</v>
          </cell>
          <cell r="Y108">
            <v>569915</v>
          </cell>
          <cell r="Z108">
            <v>836832</v>
          </cell>
          <cell r="AA108">
            <v>1058703</v>
          </cell>
          <cell r="AB108">
            <v>1258401</v>
          </cell>
          <cell r="AC108">
            <v>1417065</v>
          </cell>
          <cell r="AD108">
            <v>1577062</v>
          </cell>
          <cell r="AE108">
            <v>1734966</v>
          </cell>
          <cell r="AF108">
            <v>1886076</v>
          </cell>
          <cell r="AG108">
            <v>2048122</v>
          </cell>
          <cell r="AH108">
            <v>2217038</v>
          </cell>
          <cell r="AI108">
            <v>2417819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364605</v>
          </cell>
          <cell r="F109">
            <v>721269</v>
          </cell>
          <cell r="G109">
            <v>1125755</v>
          </cell>
          <cell r="H109">
            <v>1483988</v>
          </cell>
          <cell r="I109">
            <v>1810597</v>
          </cell>
          <cell r="J109">
            <v>2159391</v>
          </cell>
          <cell r="K109">
            <v>2511719</v>
          </cell>
          <cell r="L109">
            <v>2852347</v>
          </cell>
          <cell r="M109">
            <v>3188556</v>
          </cell>
          <cell r="N109">
            <v>3537696</v>
          </cell>
          <cell r="O109">
            <v>3914347</v>
          </cell>
          <cell r="P109">
            <v>4294573</v>
          </cell>
          <cell r="T109">
            <v>106</v>
          </cell>
          <cell r="U109" t="str">
            <v xml:space="preserve">Industrial </v>
          </cell>
          <cell r="W109"/>
          <cell r="X109">
            <v>396500</v>
          </cell>
          <cell r="Y109">
            <v>791086</v>
          </cell>
          <cell r="Z109">
            <v>1129767</v>
          </cell>
          <cell r="AA109">
            <v>1471946</v>
          </cell>
          <cell r="AB109">
            <v>1803760</v>
          </cell>
          <cell r="AC109">
            <v>2154061</v>
          </cell>
          <cell r="AD109">
            <v>2450229</v>
          </cell>
          <cell r="AE109">
            <v>2748773</v>
          </cell>
          <cell r="AF109">
            <v>3035617</v>
          </cell>
          <cell r="AG109">
            <v>3333971</v>
          </cell>
          <cell r="AH109">
            <v>3646768</v>
          </cell>
          <cell r="AI109">
            <v>3987899</v>
          </cell>
        </row>
        <row r="110">
          <cell r="A110">
            <v>107</v>
          </cell>
          <cell r="B110" t="str">
            <v>Other</v>
          </cell>
          <cell r="D110"/>
          <cell r="E110">
            <v>-12891</v>
          </cell>
          <cell r="F110">
            <v>44023</v>
          </cell>
          <cell r="G110">
            <v>40382</v>
          </cell>
          <cell r="H110">
            <v>-6463</v>
          </cell>
          <cell r="I110">
            <v>-5798</v>
          </cell>
          <cell r="J110">
            <v>-5324</v>
          </cell>
          <cell r="K110">
            <v>-5069</v>
          </cell>
          <cell r="L110">
            <v>-4936</v>
          </cell>
          <cell r="M110">
            <v>-4723</v>
          </cell>
          <cell r="N110">
            <v>-4526</v>
          </cell>
          <cell r="O110">
            <v>-4332</v>
          </cell>
          <cell r="P110">
            <v>-4202</v>
          </cell>
          <cell r="T110">
            <v>107</v>
          </cell>
          <cell r="U110" t="str">
            <v>Other</v>
          </cell>
          <cell r="W110"/>
          <cell r="X110">
            <v>-37589</v>
          </cell>
          <cell r="Y110">
            <v>-43434</v>
          </cell>
          <cell r="Z110">
            <v>-81557</v>
          </cell>
          <cell r="AA110">
            <v>-37003</v>
          </cell>
          <cell r="AB110">
            <v>-36496</v>
          </cell>
          <cell r="AC110">
            <v>-108633</v>
          </cell>
          <cell r="AD110">
            <v>-140087</v>
          </cell>
          <cell r="AE110">
            <v>-124931</v>
          </cell>
          <cell r="AF110">
            <v>-151631</v>
          </cell>
          <cell r="AG110">
            <v>-109135</v>
          </cell>
          <cell r="AH110">
            <v>-85637</v>
          </cell>
          <cell r="AI110">
            <v>-84763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757464</v>
          </cell>
          <cell r="F111">
            <v>1583765</v>
          </cell>
          <cell r="G111">
            <v>2365380</v>
          </cell>
          <cell r="H111">
            <v>2990202</v>
          </cell>
          <cell r="I111">
            <v>3594885</v>
          </cell>
          <cell r="J111">
            <v>4175918</v>
          </cell>
          <cell r="K111">
            <v>4735291</v>
          </cell>
          <cell r="L111">
            <v>5265061</v>
          </cell>
          <cell r="M111">
            <v>5811670</v>
          </cell>
          <cell r="N111">
            <v>6384516</v>
          </cell>
          <cell r="O111">
            <v>7032161</v>
          </cell>
          <cell r="P111">
            <v>7733119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799490</v>
          </cell>
          <cell r="Y111">
            <v>1686097</v>
          </cell>
          <cell r="Z111">
            <v>2400007</v>
          </cell>
          <cell r="AA111">
            <v>3116875</v>
          </cell>
          <cell r="AB111">
            <v>3731043</v>
          </cell>
          <cell r="AC111">
            <v>4235886</v>
          </cell>
          <cell r="AD111">
            <v>4726804</v>
          </cell>
          <cell r="AE111">
            <v>5262661</v>
          </cell>
          <cell r="AF111">
            <v>5740632</v>
          </cell>
          <cell r="AG111">
            <v>6312415</v>
          </cell>
          <cell r="AH111">
            <v>6903906</v>
          </cell>
          <cell r="AI111">
            <v>7568775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59166</v>
          </cell>
          <cell r="F114">
            <v>59250</v>
          </cell>
          <cell r="G114">
            <v>59380</v>
          </cell>
          <cell r="H114">
            <v>59497</v>
          </cell>
          <cell r="I114">
            <v>59530</v>
          </cell>
          <cell r="J114">
            <v>59572</v>
          </cell>
          <cell r="K114">
            <v>59597</v>
          </cell>
          <cell r="L114">
            <v>59604</v>
          </cell>
          <cell r="M114">
            <v>59618</v>
          </cell>
          <cell r="N114">
            <v>59638</v>
          </cell>
          <cell r="O114">
            <v>59674</v>
          </cell>
          <cell r="P114">
            <v>59731</v>
          </cell>
          <cell r="T114">
            <v>111</v>
          </cell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910995</v>
          </cell>
          <cell r="F115">
            <v>1741689</v>
          </cell>
          <cell r="G115">
            <v>2498021</v>
          </cell>
          <cell r="H115">
            <v>3247808</v>
          </cell>
          <cell r="I115">
            <v>3897362</v>
          </cell>
          <cell r="J115">
            <v>4456408</v>
          </cell>
          <cell r="K115">
            <v>5023505</v>
          </cell>
          <cell r="L115">
            <v>5559090</v>
          </cell>
          <cell r="M115">
            <v>6104287.7800000003</v>
          </cell>
          <cell r="N115">
            <v>6693154.3399999999</v>
          </cell>
          <cell r="O115">
            <v>7376034.5700000003</v>
          </cell>
          <cell r="P115">
            <v>8163554.6300000008</v>
          </cell>
          <cell r="T115">
            <v>112</v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935501</v>
          </cell>
          <cell r="F116">
            <v>1788541</v>
          </cell>
          <cell r="G116">
            <v>2565218</v>
          </cell>
          <cell r="H116">
            <v>3335174</v>
          </cell>
          <cell r="I116">
            <v>4002201</v>
          </cell>
          <cell r="J116">
            <v>4576285</v>
          </cell>
          <cell r="K116">
            <v>5158637</v>
          </cell>
          <cell r="L116">
            <v>5708629</v>
          </cell>
          <cell r="M116">
            <v>6268493</v>
          </cell>
          <cell r="N116">
            <v>6873200</v>
          </cell>
          <cell r="O116">
            <v>7574450</v>
          </cell>
          <cell r="P116">
            <v>8383154</v>
          </cell>
          <cell r="T116">
            <v>113</v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</row>
      </sheetData>
      <sheetData sheetId="13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24289</v>
          </cell>
          <cell r="D5">
            <v>291462</v>
          </cell>
          <cell r="E5">
            <v>24140</v>
          </cell>
          <cell r="F5">
            <v>24172</v>
          </cell>
          <cell r="G5">
            <v>24190</v>
          </cell>
          <cell r="H5">
            <v>24203</v>
          </cell>
          <cell r="I5">
            <v>24287</v>
          </cell>
          <cell r="J5">
            <v>24314</v>
          </cell>
          <cell r="K5">
            <v>24378</v>
          </cell>
          <cell r="L5">
            <v>24356</v>
          </cell>
          <cell r="M5">
            <v>24368</v>
          </cell>
          <cell r="N5">
            <v>24338</v>
          </cell>
          <cell r="O5">
            <v>24371</v>
          </cell>
          <cell r="P5">
            <v>24345</v>
          </cell>
          <cell r="T5">
            <v>2</v>
          </cell>
          <cell r="U5" t="str">
            <v>Residential</v>
          </cell>
          <cell r="V5"/>
          <cell r="W5"/>
          <cell r="X5">
            <v>23878</v>
          </cell>
          <cell r="Y5">
            <v>23931</v>
          </cell>
          <cell r="Z5">
            <v>23944</v>
          </cell>
          <cell r="AA5">
            <v>24043</v>
          </cell>
          <cell r="AB5">
            <v>24043</v>
          </cell>
          <cell r="AC5">
            <v>24048</v>
          </cell>
          <cell r="AD5">
            <v>24092</v>
          </cell>
          <cell r="AE5">
            <v>24133</v>
          </cell>
          <cell r="AF5">
            <v>24085</v>
          </cell>
          <cell r="AG5">
            <v>24023</v>
          </cell>
          <cell r="AH5">
            <v>24143</v>
          </cell>
          <cell r="AI5">
            <v>24109</v>
          </cell>
        </row>
        <row r="6">
          <cell r="A6">
            <v>3</v>
          </cell>
          <cell r="B6" t="str">
            <v>Commercial</v>
          </cell>
          <cell r="C6">
            <v>7404</v>
          </cell>
          <cell r="D6">
            <v>88852</v>
          </cell>
          <cell r="E6">
            <v>7387</v>
          </cell>
          <cell r="F6">
            <v>7386</v>
          </cell>
          <cell r="G6">
            <v>7384</v>
          </cell>
          <cell r="H6">
            <v>7388</v>
          </cell>
          <cell r="I6">
            <v>7426</v>
          </cell>
          <cell r="J6">
            <v>7416</v>
          </cell>
          <cell r="K6">
            <v>7393</v>
          </cell>
          <cell r="L6">
            <v>7404</v>
          </cell>
          <cell r="M6">
            <v>7408</v>
          </cell>
          <cell r="N6">
            <v>7415</v>
          </cell>
          <cell r="O6">
            <v>7417</v>
          </cell>
          <cell r="P6">
            <v>7428</v>
          </cell>
          <cell r="T6">
            <v>3</v>
          </cell>
          <cell r="U6" t="str">
            <v>Commercial</v>
          </cell>
          <cell r="V6"/>
          <cell r="W6"/>
          <cell r="X6">
            <v>7374</v>
          </cell>
          <cell r="Y6">
            <v>7372</v>
          </cell>
          <cell r="Z6">
            <v>7362</v>
          </cell>
          <cell r="AA6">
            <v>7393</v>
          </cell>
          <cell r="AB6">
            <v>7385</v>
          </cell>
          <cell r="AC6">
            <v>7392</v>
          </cell>
          <cell r="AD6">
            <v>7403</v>
          </cell>
          <cell r="AE6">
            <v>7418</v>
          </cell>
          <cell r="AF6">
            <v>7415</v>
          </cell>
          <cell r="AG6">
            <v>7380</v>
          </cell>
          <cell r="AH6">
            <v>7392</v>
          </cell>
          <cell r="AI6">
            <v>7383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/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31695</v>
          </cell>
          <cell r="D9">
            <v>380338</v>
          </cell>
          <cell r="E9">
            <v>31529</v>
          </cell>
          <cell r="F9">
            <v>31560</v>
          </cell>
          <cell r="G9">
            <v>31576</v>
          </cell>
          <cell r="H9">
            <v>31593</v>
          </cell>
          <cell r="I9">
            <v>31715</v>
          </cell>
          <cell r="J9">
            <v>31732</v>
          </cell>
          <cell r="K9">
            <v>31773</v>
          </cell>
          <cell r="L9">
            <v>31762</v>
          </cell>
          <cell r="M9">
            <v>31778</v>
          </cell>
          <cell r="N9">
            <v>31755</v>
          </cell>
          <cell r="O9">
            <v>31790</v>
          </cell>
          <cell r="P9">
            <v>31775</v>
          </cell>
          <cell r="T9">
            <v>6</v>
          </cell>
          <cell r="U9" t="str">
            <v>Total customers</v>
          </cell>
          <cell r="V9"/>
          <cell r="W9"/>
          <cell r="X9">
            <v>31254</v>
          </cell>
          <cell r="Y9">
            <v>31305</v>
          </cell>
          <cell r="Z9">
            <v>31308</v>
          </cell>
          <cell r="AA9">
            <v>31438</v>
          </cell>
          <cell r="AB9">
            <v>31430</v>
          </cell>
          <cell r="AC9">
            <v>31442</v>
          </cell>
          <cell r="AD9">
            <v>31497</v>
          </cell>
          <cell r="AE9">
            <v>31553</v>
          </cell>
          <cell r="AF9">
            <v>31502</v>
          </cell>
          <cell r="AG9">
            <v>31405</v>
          </cell>
          <cell r="AH9">
            <v>31537</v>
          </cell>
          <cell r="AI9">
            <v>31494</v>
          </cell>
        </row>
        <row r="10">
          <cell r="A10">
            <v>7</v>
          </cell>
          <cell r="G10"/>
          <cell r="T10">
            <v>7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303653.59399999998</v>
          </cell>
          <cell r="E12">
            <v>26324.956999999999</v>
          </cell>
          <cell r="F12">
            <v>26440.554</v>
          </cell>
          <cell r="G12">
            <v>21157.383999999998</v>
          </cell>
          <cell r="H12">
            <v>18283.126</v>
          </cell>
          <cell r="I12">
            <v>20008.702000000001</v>
          </cell>
          <cell r="J12">
            <v>29579.780999999999</v>
          </cell>
          <cell r="K12">
            <v>33969.85</v>
          </cell>
          <cell r="L12">
            <v>33300.748</v>
          </cell>
          <cell r="M12">
            <v>32625.659</v>
          </cell>
          <cell r="N12">
            <v>24354.197</v>
          </cell>
          <cell r="O12">
            <v>17902.687999999998</v>
          </cell>
          <cell r="P12">
            <v>19705.948</v>
          </cell>
          <cell r="T12">
            <v>9</v>
          </cell>
          <cell r="U12" t="str">
            <v>Residential</v>
          </cell>
          <cell r="W12"/>
          <cell r="X12">
            <v>27407.153999999999</v>
          </cell>
          <cell r="Y12">
            <v>28408</v>
          </cell>
          <cell r="Z12">
            <v>25037</v>
          </cell>
          <cell r="AA12">
            <v>19382</v>
          </cell>
          <cell r="AB12">
            <v>20243</v>
          </cell>
          <cell r="AC12">
            <v>27010.544000000002</v>
          </cell>
          <cell r="AD12">
            <v>34072.023999999998</v>
          </cell>
          <cell r="AE12">
            <v>33401.144999999997</v>
          </cell>
          <cell r="AF12">
            <v>29383.559000000001</v>
          </cell>
          <cell r="AG12">
            <v>20672.712</v>
          </cell>
          <cell r="AH12">
            <v>19001</v>
          </cell>
          <cell r="AI12">
            <v>19624</v>
          </cell>
        </row>
        <row r="13">
          <cell r="A13">
            <v>10</v>
          </cell>
          <cell r="B13" t="str">
            <v>Commercial</v>
          </cell>
          <cell r="D13">
            <v>304457.66300000006</v>
          </cell>
          <cell r="E13">
            <v>24341.325000000001</v>
          </cell>
          <cell r="F13">
            <v>21858.546999999999</v>
          </cell>
          <cell r="G13">
            <v>21915.324000000001</v>
          </cell>
          <cell r="H13">
            <v>22803.163</v>
          </cell>
          <cell r="I13">
            <v>23534.401000000002</v>
          </cell>
          <cell r="J13">
            <v>28733.311000000002</v>
          </cell>
          <cell r="K13">
            <v>28797.101999999999</v>
          </cell>
          <cell r="L13">
            <v>30263.07</v>
          </cell>
          <cell r="M13">
            <v>30953.199000000001</v>
          </cell>
          <cell r="N13">
            <v>26594.61</v>
          </cell>
          <cell r="O13">
            <v>22404.634999999998</v>
          </cell>
          <cell r="P13">
            <v>22258.975999999999</v>
          </cell>
          <cell r="T13">
            <v>10</v>
          </cell>
          <cell r="U13" t="str">
            <v>Commercial</v>
          </cell>
          <cell r="W13"/>
          <cell r="X13">
            <v>24384</v>
          </cell>
          <cell r="Y13">
            <v>23339</v>
          </cell>
          <cell r="Z13">
            <v>23001</v>
          </cell>
          <cell r="AA13">
            <v>21861</v>
          </cell>
          <cell r="AB13">
            <v>24699</v>
          </cell>
          <cell r="AC13">
            <v>27289.392</v>
          </cell>
          <cell r="AD13">
            <v>32047.789000000001</v>
          </cell>
          <cell r="AE13">
            <v>32437.244999999999</v>
          </cell>
          <cell r="AF13">
            <v>30574.400000000001</v>
          </cell>
          <cell r="AG13">
            <v>25916.855</v>
          </cell>
          <cell r="AH13">
            <v>24549</v>
          </cell>
          <cell r="AI13">
            <v>23658</v>
          </cell>
        </row>
        <row r="14">
          <cell r="A14">
            <v>11</v>
          </cell>
          <cell r="B14" t="str">
            <v xml:space="preserve">Industrial </v>
          </cell>
          <cell r="D14">
            <v>29700</v>
          </cell>
          <cell r="E14">
            <v>2570</v>
          </cell>
          <cell r="F14">
            <v>2720</v>
          </cell>
          <cell r="G14">
            <v>1390</v>
          </cell>
          <cell r="H14">
            <v>1440</v>
          </cell>
          <cell r="I14">
            <v>1210</v>
          </cell>
          <cell r="J14">
            <v>2250</v>
          </cell>
          <cell r="K14">
            <v>980</v>
          </cell>
          <cell r="L14">
            <v>2340</v>
          </cell>
          <cell r="M14">
            <v>2570</v>
          </cell>
          <cell r="N14">
            <v>7610</v>
          </cell>
          <cell r="O14">
            <v>4420</v>
          </cell>
          <cell r="P14">
            <v>200</v>
          </cell>
          <cell r="T14">
            <v>11</v>
          </cell>
          <cell r="U14" t="str">
            <v xml:space="preserve">Industrial </v>
          </cell>
          <cell r="W14"/>
          <cell r="X14">
            <v>2200</v>
          </cell>
          <cell r="Y14">
            <v>3290</v>
          </cell>
          <cell r="Z14">
            <v>2020</v>
          </cell>
          <cell r="AA14">
            <v>740</v>
          </cell>
          <cell r="AB14">
            <v>290</v>
          </cell>
          <cell r="AC14">
            <v>1110</v>
          </cell>
          <cell r="AD14">
            <v>1350</v>
          </cell>
          <cell r="AE14">
            <v>1920</v>
          </cell>
          <cell r="AF14">
            <v>1300</v>
          </cell>
          <cell r="AG14">
            <v>410</v>
          </cell>
          <cell r="AH14">
            <v>1200</v>
          </cell>
          <cell r="AI14">
            <v>3050</v>
          </cell>
        </row>
        <row r="15">
          <cell r="A15">
            <v>12</v>
          </cell>
          <cell r="B15" t="str">
            <v>Other</v>
          </cell>
          <cell r="D15">
            <v>8483.7235199999996</v>
          </cell>
          <cell r="E15">
            <v>1318.0475200000001</v>
          </cell>
          <cell r="F15">
            <v>661.97400000000005</v>
          </cell>
          <cell r="G15">
            <v>657.04200000000003</v>
          </cell>
          <cell r="H15">
            <v>648.48</v>
          </cell>
          <cell r="I15">
            <v>650.59400000000005</v>
          </cell>
          <cell r="J15">
            <v>662.40200000000004</v>
          </cell>
          <cell r="K15">
            <v>656.27300000000002</v>
          </cell>
          <cell r="L15">
            <v>661.15200000000004</v>
          </cell>
          <cell r="M15">
            <v>661.351</v>
          </cell>
          <cell r="N15">
            <v>659.39799999999991</v>
          </cell>
          <cell r="O15">
            <v>623.85400000000004</v>
          </cell>
          <cell r="P15">
            <v>623.15599999999995</v>
          </cell>
          <cell r="T15">
            <v>12</v>
          </cell>
          <cell r="U15" t="str">
            <v>Other</v>
          </cell>
          <cell r="W15"/>
          <cell r="X15">
            <v>-1629.32</v>
          </cell>
          <cell r="Y15">
            <v>-928.99218000000008</v>
          </cell>
          <cell r="Z15">
            <v>-2221.3755699999997</v>
          </cell>
          <cell r="AA15">
            <v>-2425.6199799999999</v>
          </cell>
          <cell r="AB15">
            <v>6276.6736200000005</v>
          </cell>
          <cell r="AC15">
            <v>6276.6736200000005</v>
          </cell>
          <cell r="AD15">
            <v>2351.9720000000002</v>
          </cell>
          <cell r="AE15">
            <v>869.64599999999996</v>
          </cell>
          <cell r="AF15">
            <v>-4495.3509999999997</v>
          </cell>
          <cell r="AG15">
            <v>-1903.722</v>
          </cell>
          <cell r="AH15">
            <v>-2530</v>
          </cell>
          <cell r="AI15">
            <v>-1381</v>
          </cell>
        </row>
        <row r="16">
          <cell r="A16">
            <v>13</v>
          </cell>
          <cell r="B16" t="str">
            <v>Total Deliveries</v>
          </cell>
          <cell r="C16"/>
          <cell r="D16">
            <v>646294.98051999998</v>
          </cell>
          <cell r="E16">
            <v>54554.329519999999</v>
          </cell>
          <cell r="F16">
            <v>51681.074999999997</v>
          </cell>
          <cell r="G16">
            <v>45119.75</v>
          </cell>
          <cell r="H16">
            <v>43174.769000000008</v>
          </cell>
          <cell r="I16">
            <v>45403.697</v>
          </cell>
          <cell r="J16">
            <v>61225.494000000006</v>
          </cell>
          <cell r="K16">
            <v>64403.224999999999</v>
          </cell>
          <cell r="L16">
            <v>66564.97</v>
          </cell>
          <cell r="M16">
            <v>66810.209000000003</v>
          </cell>
          <cell r="N16">
            <v>59218.205000000002</v>
          </cell>
          <cell r="O16">
            <v>45351.176999999996</v>
          </cell>
          <cell r="P16">
            <v>42788.08</v>
          </cell>
          <cell r="T16">
            <v>13</v>
          </cell>
          <cell r="U16" t="str">
            <v>Total Deliveries</v>
          </cell>
          <cell r="V16"/>
          <cell r="W16"/>
          <cell r="X16">
            <v>52361.833999999995</v>
          </cell>
          <cell r="Y16">
            <v>54108.007819999999</v>
          </cell>
          <cell r="Z16">
            <v>47836.624430000003</v>
          </cell>
          <cell r="AA16">
            <v>39557.380019999997</v>
          </cell>
          <cell r="AB16">
            <v>51508.673620000001</v>
          </cell>
          <cell r="AC16">
            <v>61686.609620000003</v>
          </cell>
          <cell r="AD16">
            <v>69821.784999999989</v>
          </cell>
          <cell r="AE16">
            <v>68628.035999999993</v>
          </cell>
          <cell r="AF16">
            <v>56762.608</v>
          </cell>
          <cell r="AG16">
            <v>45095.844999999994</v>
          </cell>
          <cell r="AH16">
            <v>42220</v>
          </cell>
          <cell r="AI16">
            <v>44951</v>
          </cell>
        </row>
        <row r="17">
          <cell r="A17">
            <v>14</v>
          </cell>
          <cell r="O17"/>
          <cell r="T17">
            <v>14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</row>
        <row r="18">
          <cell r="A18">
            <v>15</v>
          </cell>
          <cell r="O18"/>
          <cell r="T18">
            <v>15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32498</v>
          </cell>
          <cell r="F20">
            <v>31866</v>
          </cell>
          <cell r="G20">
            <v>31941</v>
          </cell>
          <cell r="H20">
            <v>32016</v>
          </cell>
          <cell r="I20">
            <v>31979</v>
          </cell>
          <cell r="J20">
            <v>32071</v>
          </cell>
          <cell r="K20">
            <v>32072</v>
          </cell>
          <cell r="L20">
            <v>31996</v>
          </cell>
          <cell r="M20">
            <v>32017</v>
          </cell>
          <cell r="N20">
            <v>31965</v>
          </cell>
          <cell r="O20">
            <v>31964</v>
          </cell>
          <cell r="P20">
            <v>31970</v>
          </cell>
          <cell r="T20">
            <v>17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</row>
        <row r="21">
          <cell r="A21">
            <v>18</v>
          </cell>
          <cell r="B21" t="str">
            <v>Volume (KWH)</v>
          </cell>
          <cell r="C21"/>
          <cell r="D21"/>
          <cell r="E21">
            <v>56539.516000000003</v>
          </cell>
          <cell r="F21">
            <v>56788.883999999998</v>
          </cell>
          <cell r="G21">
            <v>51125.248</v>
          </cell>
          <cell r="H21">
            <v>43851.938000000002</v>
          </cell>
          <cell r="I21">
            <v>48397.271999999997</v>
          </cell>
          <cell r="J21">
            <v>56706.097000000002</v>
          </cell>
          <cell r="K21">
            <v>68382.289999999994</v>
          </cell>
          <cell r="L21">
            <v>64587.491999999998</v>
          </cell>
          <cell r="M21">
            <v>64503.875</v>
          </cell>
          <cell r="N21">
            <v>51223.741000000002</v>
          </cell>
          <cell r="O21">
            <v>46213.260999999999</v>
          </cell>
          <cell r="P21">
            <v>50756.002</v>
          </cell>
          <cell r="T21">
            <v>18</v>
          </cell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/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24222</v>
          </cell>
          <cell r="D27">
            <v>290666</v>
          </cell>
          <cell r="E27">
            <v>24140</v>
          </cell>
          <cell r="F27">
            <v>24156</v>
          </cell>
          <cell r="G27">
            <v>24167</v>
          </cell>
          <cell r="H27">
            <v>24176</v>
          </cell>
          <cell r="I27">
            <v>24198</v>
          </cell>
          <cell r="J27">
            <v>24218</v>
          </cell>
          <cell r="K27">
            <v>24241</v>
          </cell>
          <cell r="L27">
            <v>24255</v>
          </cell>
          <cell r="M27">
            <v>24268</v>
          </cell>
          <cell r="N27">
            <v>24275</v>
          </cell>
          <cell r="O27">
            <v>24283</v>
          </cell>
          <cell r="P27">
            <v>24289</v>
          </cell>
          <cell r="T27">
            <v>24</v>
          </cell>
          <cell r="U27" t="str">
            <v>Residential</v>
          </cell>
          <cell r="V27"/>
          <cell r="W27"/>
          <cell r="X27">
            <v>23878</v>
          </cell>
          <cell r="Y27">
            <v>23905</v>
          </cell>
          <cell r="Z27">
            <v>23918</v>
          </cell>
          <cell r="AA27">
            <v>23949</v>
          </cell>
          <cell r="AB27">
            <v>23968</v>
          </cell>
          <cell r="AC27">
            <v>23981</v>
          </cell>
          <cell r="AD27">
            <v>23997</v>
          </cell>
          <cell r="AE27">
            <v>24014</v>
          </cell>
          <cell r="AF27">
            <v>24022</v>
          </cell>
          <cell r="AG27">
            <v>24022</v>
          </cell>
          <cell r="AH27">
            <v>24033</v>
          </cell>
          <cell r="AI27">
            <v>24039</v>
          </cell>
        </row>
        <row r="28">
          <cell r="A28">
            <v>25</v>
          </cell>
          <cell r="B28" t="str">
            <v>Commercial</v>
          </cell>
          <cell r="C28">
            <v>7395</v>
          </cell>
          <cell r="D28">
            <v>88739</v>
          </cell>
          <cell r="E28">
            <v>7387</v>
          </cell>
          <cell r="F28">
            <v>7387</v>
          </cell>
          <cell r="G28">
            <v>7386</v>
          </cell>
          <cell r="H28">
            <v>7386</v>
          </cell>
          <cell r="I28">
            <v>7394</v>
          </cell>
          <cell r="J28">
            <v>7398</v>
          </cell>
          <cell r="K28">
            <v>7397</v>
          </cell>
          <cell r="L28">
            <v>7398</v>
          </cell>
          <cell r="M28">
            <v>7399</v>
          </cell>
          <cell r="N28">
            <v>7401</v>
          </cell>
          <cell r="O28">
            <v>7402</v>
          </cell>
          <cell r="P28">
            <v>7404</v>
          </cell>
          <cell r="T28">
            <v>25</v>
          </cell>
          <cell r="U28" t="str">
            <v>Commercial</v>
          </cell>
          <cell r="V28"/>
          <cell r="W28"/>
          <cell r="X28">
            <v>7374</v>
          </cell>
          <cell r="Y28">
            <v>7373</v>
          </cell>
          <cell r="Z28">
            <v>7369</v>
          </cell>
          <cell r="AA28">
            <v>7375</v>
          </cell>
          <cell r="AB28">
            <v>7377</v>
          </cell>
          <cell r="AC28">
            <v>7380</v>
          </cell>
          <cell r="AD28">
            <v>7383</v>
          </cell>
          <cell r="AE28">
            <v>7387</v>
          </cell>
          <cell r="AF28">
            <v>7390</v>
          </cell>
          <cell r="AG28">
            <v>7389</v>
          </cell>
          <cell r="AH28">
            <v>7390</v>
          </cell>
          <cell r="AI28">
            <v>7389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/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/>
          <cell r="AG30"/>
          <cell r="AH30"/>
          <cell r="AI30"/>
        </row>
        <row r="31">
          <cell r="A31">
            <v>28</v>
          </cell>
          <cell r="B31" t="str">
            <v>Total customers</v>
          </cell>
          <cell r="C31">
            <v>31619</v>
          </cell>
          <cell r="D31">
            <v>379429</v>
          </cell>
          <cell r="E31">
            <v>31529</v>
          </cell>
          <cell r="F31">
            <v>31545</v>
          </cell>
          <cell r="G31">
            <v>31555</v>
          </cell>
          <cell r="H31">
            <v>31564</v>
          </cell>
          <cell r="I31">
            <v>31594</v>
          </cell>
          <cell r="J31">
            <v>31618</v>
          </cell>
          <cell r="K31">
            <v>31640</v>
          </cell>
          <cell r="L31">
            <v>31655</v>
          </cell>
          <cell r="M31">
            <v>31669</v>
          </cell>
          <cell r="N31">
            <v>31678</v>
          </cell>
          <cell r="O31">
            <v>31687</v>
          </cell>
          <cell r="P31">
            <v>31695</v>
          </cell>
          <cell r="T31">
            <v>28</v>
          </cell>
          <cell r="U31" t="str">
            <v>Total customers</v>
          </cell>
          <cell r="V31"/>
          <cell r="W31"/>
          <cell r="X31">
            <v>31254</v>
          </cell>
          <cell r="Y31">
            <v>31280</v>
          </cell>
          <cell r="Z31">
            <v>31289</v>
          </cell>
          <cell r="AA31">
            <v>31326</v>
          </cell>
          <cell r="AB31">
            <v>31347</v>
          </cell>
          <cell r="AC31">
            <v>31363</v>
          </cell>
          <cell r="AD31">
            <v>31382</v>
          </cell>
          <cell r="AE31">
            <v>31403</v>
          </cell>
          <cell r="AF31">
            <v>31414</v>
          </cell>
          <cell r="AG31">
            <v>31413</v>
          </cell>
          <cell r="AH31">
            <v>31425</v>
          </cell>
          <cell r="AI31">
            <v>31430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26324.956999999999</v>
          </cell>
          <cell r="F35">
            <v>52765.510999999999</v>
          </cell>
          <cell r="G35">
            <v>73922.89499999999</v>
          </cell>
          <cell r="H35">
            <v>92206.020999999993</v>
          </cell>
          <cell r="I35">
            <v>112214.723</v>
          </cell>
          <cell r="J35">
            <v>141794.50399999999</v>
          </cell>
          <cell r="K35">
            <v>175764.35399999999</v>
          </cell>
          <cell r="L35">
            <v>209065.10199999998</v>
          </cell>
          <cell r="M35">
            <v>241690.761</v>
          </cell>
          <cell r="N35">
            <v>266044.95799999998</v>
          </cell>
          <cell r="O35">
            <v>283947.64600000001</v>
          </cell>
          <cell r="P35">
            <v>303653.59399999998</v>
          </cell>
          <cell r="T35">
            <v>32</v>
          </cell>
          <cell r="U35" t="str">
            <v>Residential</v>
          </cell>
          <cell r="W35"/>
          <cell r="X35">
            <v>27407.153999999999</v>
          </cell>
          <cell r="Y35">
            <v>55815.153999999995</v>
          </cell>
          <cell r="Z35">
            <v>80852.153999999995</v>
          </cell>
          <cell r="AA35">
            <v>100234.15399999999</v>
          </cell>
          <cell r="AB35">
            <v>120477.15399999999</v>
          </cell>
          <cell r="AC35">
            <v>147487.698</v>
          </cell>
          <cell r="AD35">
            <v>181559.72200000001</v>
          </cell>
          <cell r="AE35">
            <v>214960.867</v>
          </cell>
          <cell r="AF35">
            <v>244344.42600000001</v>
          </cell>
          <cell r="AG35">
            <v>265017.13800000004</v>
          </cell>
          <cell r="AH35">
            <v>284018.13800000004</v>
          </cell>
          <cell r="AI35">
            <v>303642.13800000004</v>
          </cell>
        </row>
        <row r="36">
          <cell r="A36">
            <v>33</v>
          </cell>
          <cell r="B36" t="str">
            <v>Commercial</v>
          </cell>
          <cell r="D36"/>
          <cell r="E36">
            <v>24341.325000000001</v>
          </cell>
          <cell r="F36">
            <v>46199.872000000003</v>
          </cell>
          <cell r="G36">
            <v>68115.195999999996</v>
          </cell>
          <cell r="H36">
            <v>90918.358999999997</v>
          </cell>
          <cell r="I36">
            <v>114452.76</v>
          </cell>
          <cell r="J36">
            <v>143186.071</v>
          </cell>
          <cell r="K36">
            <v>171983.17300000001</v>
          </cell>
          <cell r="L36">
            <v>202246.24300000002</v>
          </cell>
          <cell r="M36">
            <v>233199.44200000001</v>
          </cell>
          <cell r="N36">
            <v>259794.05200000003</v>
          </cell>
          <cell r="O36">
            <v>282198.68700000003</v>
          </cell>
          <cell r="P36">
            <v>304457.66300000006</v>
          </cell>
          <cell r="T36">
            <v>33</v>
          </cell>
          <cell r="U36" t="str">
            <v>Commercial</v>
          </cell>
          <cell r="W36"/>
          <cell r="X36">
            <v>24384</v>
          </cell>
          <cell r="Y36">
            <v>47723</v>
          </cell>
          <cell r="Z36">
            <v>70724</v>
          </cell>
          <cell r="AA36">
            <v>92585</v>
          </cell>
          <cell r="AB36">
            <v>117284</v>
          </cell>
          <cell r="AC36">
            <v>144573.39199999999</v>
          </cell>
          <cell r="AD36">
            <v>176621.18099999998</v>
          </cell>
          <cell r="AE36">
            <v>209058.42599999998</v>
          </cell>
          <cell r="AF36">
            <v>239632.82599999997</v>
          </cell>
          <cell r="AG36">
            <v>265549.68099999998</v>
          </cell>
          <cell r="AH36">
            <v>290098.68099999998</v>
          </cell>
          <cell r="AI36">
            <v>313756.68099999998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2570</v>
          </cell>
          <cell r="F37">
            <v>5290</v>
          </cell>
          <cell r="G37">
            <v>6680</v>
          </cell>
          <cell r="H37">
            <v>8120</v>
          </cell>
          <cell r="I37">
            <v>9330</v>
          </cell>
          <cell r="J37">
            <v>11580</v>
          </cell>
          <cell r="K37">
            <v>12560</v>
          </cell>
          <cell r="L37">
            <v>14900</v>
          </cell>
          <cell r="M37">
            <v>17470</v>
          </cell>
          <cell r="N37">
            <v>25080</v>
          </cell>
          <cell r="O37">
            <v>29500</v>
          </cell>
          <cell r="P37">
            <v>29700</v>
          </cell>
          <cell r="T37">
            <v>34</v>
          </cell>
          <cell r="U37" t="str">
            <v xml:space="preserve">Industrial </v>
          </cell>
          <cell r="W37"/>
          <cell r="X37">
            <v>2200</v>
          </cell>
          <cell r="Y37">
            <v>5490</v>
          </cell>
          <cell r="Z37">
            <v>7510</v>
          </cell>
          <cell r="AA37">
            <v>8250</v>
          </cell>
          <cell r="AB37">
            <v>8540</v>
          </cell>
          <cell r="AC37">
            <v>9650</v>
          </cell>
          <cell r="AD37">
            <v>11000</v>
          </cell>
          <cell r="AE37">
            <v>12920</v>
          </cell>
          <cell r="AF37">
            <v>14220</v>
          </cell>
          <cell r="AG37">
            <v>14630</v>
          </cell>
          <cell r="AH37">
            <v>15830</v>
          </cell>
          <cell r="AI37">
            <v>18880</v>
          </cell>
        </row>
        <row r="38">
          <cell r="A38">
            <v>35</v>
          </cell>
          <cell r="B38" t="str">
            <v>Other</v>
          </cell>
          <cell r="D38"/>
          <cell r="E38">
            <v>1318.0475200000001</v>
          </cell>
          <cell r="F38">
            <v>1980.0215200000002</v>
          </cell>
          <cell r="G38">
            <v>2637.0635200000002</v>
          </cell>
          <cell r="H38">
            <v>3285.5435200000002</v>
          </cell>
          <cell r="I38">
            <v>3936.1375200000002</v>
          </cell>
          <cell r="J38">
            <v>4598.5395200000003</v>
          </cell>
          <cell r="K38">
            <v>5254.8125200000004</v>
          </cell>
          <cell r="L38">
            <v>5915.9645200000004</v>
          </cell>
          <cell r="M38">
            <v>6577.3155200000001</v>
          </cell>
          <cell r="N38">
            <v>7236.7135200000002</v>
          </cell>
          <cell r="O38">
            <v>7860.5675200000005</v>
          </cell>
          <cell r="P38">
            <v>8483.7235199999996</v>
          </cell>
          <cell r="T38">
            <v>35</v>
          </cell>
          <cell r="U38" t="str">
            <v>Other</v>
          </cell>
          <cell r="W38"/>
          <cell r="X38">
            <v>-1629.32</v>
          </cell>
          <cell r="Y38">
            <v>-2558.3121799999999</v>
          </cell>
          <cell r="Z38">
            <v>-4779.6877499999991</v>
          </cell>
          <cell r="AA38">
            <v>-7205.3077299999986</v>
          </cell>
          <cell r="AB38">
            <v>-928.63410999999815</v>
          </cell>
          <cell r="AC38">
            <v>5348.0395100000023</v>
          </cell>
          <cell r="AD38">
            <v>7700.0115100000021</v>
          </cell>
          <cell r="AE38">
            <v>8569.6575100000027</v>
          </cell>
          <cell r="AF38">
            <v>4074.3065100000031</v>
          </cell>
          <cell r="AG38">
            <v>2170.5845100000033</v>
          </cell>
          <cell r="AH38">
            <v>-359.41548999999668</v>
          </cell>
          <cell r="AI38">
            <v>-1740.4154899999967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54554.329519999999</v>
          </cell>
          <cell r="F39">
            <v>106235.40452</v>
          </cell>
          <cell r="G39">
            <v>151355.15451999998</v>
          </cell>
          <cell r="H39">
            <v>194529.92352000001</v>
          </cell>
          <cell r="I39">
            <v>239933.62052</v>
          </cell>
          <cell r="J39">
            <v>301159.11451999994</v>
          </cell>
          <cell r="K39">
            <v>365562.33951999998</v>
          </cell>
          <cell r="L39">
            <v>432127.30951999995</v>
          </cell>
          <cell r="M39">
            <v>498937.51851999998</v>
          </cell>
          <cell r="N39">
            <v>558155.72352</v>
          </cell>
          <cell r="O39">
            <v>603506.90052000014</v>
          </cell>
          <cell r="P39">
            <v>646294.98051999998</v>
          </cell>
          <cell r="T39">
            <v>36</v>
          </cell>
          <cell r="U39" t="str">
            <v>Total Deliveries</v>
          </cell>
          <cell r="V39"/>
          <cell r="W39"/>
          <cell r="X39">
            <v>52361.833999999995</v>
          </cell>
          <cell r="Y39">
            <v>106469.84182</v>
          </cell>
          <cell r="Z39">
            <v>154306.46624999997</v>
          </cell>
          <cell r="AA39">
            <v>193863.84626999998</v>
          </cell>
          <cell r="AB39">
            <v>245372.51989</v>
          </cell>
          <cell r="AC39">
            <v>307059.12951</v>
          </cell>
          <cell r="AD39">
            <v>376880.91450999997</v>
          </cell>
          <cell r="AE39">
            <v>445508.95050999994</v>
          </cell>
          <cell r="AF39">
            <v>502271.55851</v>
          </cell>
          <cell r="AG39">
            <v>547367.40350999997</v>
          </cell>
          <cell r="AH39">
            <v>589587.40350999997</v>
          </cell>
          <cell r="AI39">
            <v>634538.40350999997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B41" t="str">
            <v xml:space="preserve">BUDGET </v>
          </cell>
          <cell r="C41"/>
          <cell r="D41"/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A42">
            <v>39</v>
          </cell>
          <cell r="B42" t="str">
            <v>Customers  - YTD average</v>
          </cell>
          <cell r="C42"/>
          <cell r="D42"/>
          <cell r="E42">
            <v>32498</v>
          </cell>
          <cell r="F42">
            <v>32182</v>
          </cell>
          <cell r="G42">
            <v>32102</v>
          </cell>
          <cell r="H42">
            <v>32080</v>
          </cell>
          <cell r="I42">
            <v>32060</v>
          </cell>
          <cell r="J42">
            <v>32062</v>
          </cell>
          <cell r="K42">
            <v>32063</v>
          </cell>
          <cell r="L42">
            <v>32055</v>
          </cell>
          <cell r="M42">
            <v>32051</v>
          </cell>
          <cell r="N42">
            <v>32042</v>
          </cell>
          <cell r="O42">
            <v>32035</v>
          </cell>
          <cell r="P42">
            <v>32030</v>
          </cell>
          <cell r="T42">
            <v>39</v>
          </cell>
        </row>
        <row r="43">
          <cell r="A43">
            <v>40</v>
          </cell>
          <cell r="B43" t="str">
            <v>Volume (KWH)- cumulative total</v>
          </cell>
          <cell r="C43"/>
          <cell r="D43"/>
          <cell r="E43">
            <v>56539.516000000003</v>
          </cell>
          <cell r="F43">
            <v>113328.4</v>
          </cell>
          <cell r="G43">
            <v>164453.64799999999</v>
          </cell>
          <cell r="H43">
            <v>208305.58599999998</v>
          </cell>
          <cell r="I43">
            <v>256702.85799999998</v>
          </cell>
          <cell r="J43">
            <v>313408.95499999996</v>
          </cell>
          <cell r="K43">
            <v>381791.24499999994</v>
          </cell>
          <cell r="L43">
            <v>446378.73699999996</v>
          </cell>
          <cell r="M43">
            <v>510882.61199999996</v>
          </cell>
          <cell r="N43">
            <v>562106.353</v>
          </cell>
          <cell r="O43">
            <v>608319.61400000006</v>
          </cell>
          <cell r="P43">
            <v>659075.61600000004</v>
          </cell>
          <cell r="T43">
            <v>40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18</v>
          </cell>
          <cell r="D7">
            <v>215</v>
          </cell>
          <cell r="E7">
            <v>22</v>
          </cell>
          <cell r="F7">
            <v>17</v>
          </cell>
          <cell r="G7">
            <v>17</v>
          </cell>
          <cell r="H7">
            <v>17</v>
          </cell>
          <cell r="I7">
            <v>18</v>
          </cell>
          <cell r="J7">
            <v>17</v>
          </cell>
          <cell r="K7">
            <v>18</v>
          </cell>
          <cell r="L7">
            <v>17</v>
          </cell>
          <cell r="M7">
            <v>19</v>
          </cell>
          <cell r="N7">
            <v>18</v>
          </cell>
          <cell r="O7">
            <v>18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19</v>
          </cell>
          <cell r="W7">
            <v>228</v>
          </cell>
          <cell r="X7">
            <v>19</v>
          </cell>
          <cell r="Y7">
            <v>19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20</v>
          </cell>
          <cell r="AE7">
            <v>19</v>
          </cell>
          <cell r="AF7">
            <v>21</v>
          </cell>
          <cell r="AG7">
            <v>18</v>
          </cell>
          <cell r="AH7">
            <v>19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15</v>
          </cell>
          <cell r="D9">
            <v>179</v>
          </cell>
          <cell r="E9">
            <v>19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14</v>
          </cell>
          <cell r="K9">
            <v>15</v>
          </cell>
          <cell r="L9">
            <v>14</v>
          </cell>
          <cell r="M9">
            <v>16</v>
          </cell>
          <cell r="N9">
            <v>15</v>
          </cell>
          <cell r="O9">
            <v>15</v>
          </cell>
          <cell r="P9">
            <v>14</v>
          </cell>
          <cell r="T9">
            <v>6</v>
          </cell>
          <cell r="U9" t="str">
            <v>Total customers</v>
          </cell>
          <cell r="V9">
            <v>16</v>
          </cell>
          <cell r="W9">
            <v>192</v>
          </cell>
          <cell r="X9">
            <v>16</v>
          </cell>
          <cell r="Y9">
            <v>16</v>
          </cell>
          <cell r="Z9">
            <v>16</v>
          </cell>
          <cell r="AA9">
            <v>17</v>
          </cell>
          <cell r="AB9">
            <v>16</v>
          </cell>
          <cell r="AC9">
            <v>15</v>
          </cell>
          <cell r="AD9">
            <v>17</v>
          </cell>
          <cell r="AE9">
            <v>16</v>
          </cell>
          <cell r="AF9">
            <v>18</v>
          </cell>
          <cell r="AG9">
            <v>15</v>
          </cell>
          <cell r="AH9">
            <v>16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(2016)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- 2015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51185112</v>
          </cell>
          <cell r="E14">
            <v>5120571</v>
          </cell>
          <cell r="F14">
            <v>4898898</v>
          </cell>
          <cell r="G14">
            <v>4430208</v>
          </cell>
          <cell r="H14">
            <v>4232997</v>
          </cell>
          <cell r="I14">
            <v>3597487</v>
          </cell>
          <cell r="J14">
            <v>3605282</v>
          </cell>
          <cell r="K14">
            <v>4338435</v>
          </cell>
          <cell r="L14">
            <v>4313372</v>
          </cell>
          <cell r="M14">
            <v>3919457</v>
          </cell>
          <cell r="N14">
            <v>4305707</v>
          </cell>
          <cell r="O14">
            <v>3539559</v>
          </cell>
          <cell r="P14">
            <v>4883139</v>
          </cell>
          <cell r="T14">
            <v>11</v>
          </cell>
          <cell r="U14" t="str">
            <v>Transportation firm</v>
          </cell>
          <cell r="W14"/>
          <cell r="X14">
            <v>4841809</v>
          </cell>
          <cell r="Y14">
            <v>4623188</v>
          </cell>
          <cell r="Z14">
            <v>4494023</v>
          </cell>
          <cell r="AA14">
            <v>3383917</v>
          </cell>
          <cell r="AB14">
            <v>3001043</v>
          </cell>
          <cell r="AC14">
            <v>2879224</v>
          </cell>
          <cell r="AD14">
            <v>2907950</v>
          </cell>
          <cell r="AE14">
            <v>2868179</v>
          </cell>
          <cell r="AF14">
            <v>2707737</v>
          </cell>
          <cell r="AG14">
            <v>2783613</v>
          </cell>
          <cell r="AH14">
            <v>3323172</v>
          </cell>
          <cell r="AI14">
            <v>4079434</v>
          </cell>
        </row>
        <row r="15">
          <cell r="A15">
            <v>12</v>
          </cell>
          <cell r="B15" t="str">
            <v>Interruptible transportation</v>
          </cell>
          <cell r="D15">
            <v>1896731</v>
          </cell>
          <cell r="E15">
            <v>158171</v>
          </cell>
          <cell r="F15">
            <v>119137</v>
          </cell>
          <cell r="G15">
            <v>176962</v>
          </cell>
          <cell r="H15">
            <v>81823</v>
          </cell>
          <cell r="I15">
            <v>91948</v>
          </cell>
          <cell r="J15">
            <v>98113</v>
          </cell>
          <cell r="K15">
            <v>373395</v>
          </cell>
          <cell r="L15">
            <v>330847</v>
          </cell>
          <cell r="M15">
            <v>259547</v>
          </cell>
          <cell r="N15">
            <v>113421</v>
          </cell>
          <cell r="O15">
            <v>48219</v>
          </cell>
          <cell r="P15">
            <v>45148</v>
          </cell>
          <cell r="T15">
            <v>12</v>
          </cell>
          <cell r="U15" t="str">
            <v>Interruptible transporation</v>
          </cell>
          <cell r="W15"/>
          <cell r="X15">
            <v>151493</v>
          </cell>
          <cell r="Y15">
            <v>53434</v>
          </cell>
          <cell r="Z15">
            <v>172435</v>
          </cell>
          <cell r="AA15">
            <v>257018</v>
          </cell>
          <cell r="AB15">
            <v>381436</v>
          </cell>
          <cell r="AC15">
            <v>560911</v>
          </cell>
          <cell r="AD15">
            <v>851712</v>
          </cell>
          <cell r="AE15">
            <v>709718</v>
          </cell>
          <cell r="AF15">
            <v>794572</v>
          </cell>
          <cell r="AG15">
            <v>591661</v>
          </cell>
          <cell r="AH15">
            <v>219151</v>
          </cell>
          <cell r="AI15">
            <v>374461</v>
          </cell>
        </row>
        <row r="16">
          <cell r="A16">
            <v>13</v>
          </cell>
          <cell r="B16" t="str">
            <v>Less: ESNG to DE, MD &amp; SP</v>
          </cell>
          <cell r="D16">
            <v>-11480210</v>
          </cell>
          <cell r="E16">
            <v>-1696097</v>
          </cell>
          <cell r="F16">
            <v>-1469209</v>
          </cell>
          <cell r="G16">
            <v>-1299910</v>
          </cell>
          <cell r="H16">
            <v>-873655</v>
          </cell>
          <cell r="I16">
            <v>-682658</v>
          </cell>
          <cell r="J16">
            <v>-550733</v>
          </cell>
          <cell r="K16">
            <v>-511945</v>
          </cell>
          <cell r="L16">
            <v>-545478</v>
          </cell>
          <cell r="M16">
            <v>-572139</v>
          </cell>
          <cell r="N16">
            <v>-761874</v>
          </cell>
          <cell r="O16">
            <v>-1001573</v>
          </cell>
          <cell r="P16">
            <v>-1514939</v>
          </cell>
          <cell r="T16">
            <v>13</v>
          </cell>
          <cell r="U16" t="str">
            <v>Less: ESNG to DE, MD and SP</v>
          </cell>
          <cell r="W16"/>
          <cell r="X16">
            <v>-1771653</v>
          </cell>
          <cell r="Y16">
            <v>-1824282</v>
          </cell>
          <cell r="Z16">
            <v>-1408312</v>
          </cell>
          <cell r="AA16">
            <v>-774044</v>
          </cell>
          <cell r="AB16">
            <v>-531249</v>
          </cell>
          <cell r="AC16">
            <v>-502830</v>
          </cell>
          <cell r="AD16">
            <v>-470951</v>
          </cell>
          <cell r="AE16">
            <v>-504684</v>
          </cell>
          <cell r="AF16">
            <v>-546805</v>
          </cell>
          <cell r="AG16">
            <v>-723011</v>
          </cell>
          <cell r="AH16">
            <v>-891508</v>
          </cell>
          <cell r="AI16">
            <v>-997784</v>
          </cell>
        </row>
        <row r="17">
          <cell r="A17">
            <v>14</v>
          </cell>
          <cell r="B17" t="str">
            <v>Total Deliveries</v>
          </cell>
          <cell r="C17"/>
          <cell r="D17">
            <v>41601633</v>
          </cell>
          <cell r="E17">
            <v>3582645</v>
          </cell>
          <cell r="F17">
            <v>3548826</v>
          </cell>
          <cell r="G17">
            <v>3307260</v>
          </cell>
          <cell r="H17">
            <v>3441165</v>
          </cell>
          <cell r="I17">
            <v>3006777</v>
          </cell>
          <cell r="J17">
            <v>3152662</v>
          </cell>
          <cell r="K17">
            <v>4199885</v>
          </cell>
          <cell r="L17">
            <v>4098741</v>
          </cell>
          <cell r="M17">
            <v>3606865</v>
          </cell>
          <cell r="N17">
            <v>3657254</v>
          </cell>
          <cell r="O17">
            <v>2586205</v>
          </cell>
          <cell r="P17">
            <v>3413348</v>
          </cell>
          <cell r="T17">
            <v>14</v>
          </cell>
          <cell r="U17" t="str">
            <v>Total Deliveries</v>
          </cell>
          <cell r="V17"/>
          <cell r="W17"/>
          <cell r="X17">
            <v>3221649</v>
          </cell>
          <cell r="Y17">
            <v>2852340</v>
          </cell>
          <cell r="Z17">
            <v>3258146</v>
          </cell>
          <cell r="AA17">
            <v>2866891</v>
          </cell>
          <cell r="AB17">
            <v>2851230</v>
          </cell>
          <cell r="AC17">
            <v>2937305</v>
          </cell>
          <cell r="AD17">
            <v>3288711</v>
          </cell>
          <cell r="AE17">
            <v>3073213</v>
          </cell>
          <cell r="AF17">
            <v>2955504</v>
          </cell>
          <cell r="AG17">
            <v>2652263</v>
          </cell>
          <cell r="AH17">
            <v>2650815</v>
          </cell>
          <cell r="AI17">
            <v>3456111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1.0596099999999999</v>
          </cell>
          <cell r="F20">
            <v>1.05722</v>
          </cell>
          <cell r="G20">
            <v>1.0540400000000001</v>
          </cell>
          <cell r="H20">
            <v>1.0559400000000001</v>
          </cell>
          <cell r="I20">
            <v>1.0512300000000001</v>
          </cell>
          <cell r="J20">
            <v>1.0520799999999999</v>
          </cell>
          <cell r="K20">
            <v>1.0566500000000001</v>
          </cell>
          <cell r="L20">
            <v>1.05559</v>
          </cell>
          <cell r="M20">
            <v>1.0542199999999999</v>
          </cell>
          <cell r="N20">
            <v>1.05263</v>
          </cell>
          <cell r="O20">
            <v>1.05226</v>
          </cell>
          <cell r="P20">
            <v>1.05254</v>
          </cell>
          <cell r="T20">
            <v>17</v>
          </cell>
          <cell r="X20">
            <v>1.06185</v>
          </cell>
          <cell r="Y20">
            <v>1.0644100000000001</v>
          </cell>
          <cell r="Z20">
            <v>1.0635699999999999</v>
          </cell>
          <cell r="AA20">
            <v>1.05844</v>
          </cell>
          <cell r="AB20">
            <v>1.05888</v>
          </cell>
          <cell r="AC20">
            <v>1.0630299999999999</v>
          </cell>
          <cell r="AD20">
            <v>1.05836</v>
          </cell>
          <cell r="AE20">
            <v>1.0565500000000001</v>
          </cell>
          <cell r="AF20">
            <v>1.05507</v>
          </cell>
          <cell r="AG20">
            <v>1.0595300000000001</v>
          </cell>
          <cell r="AH20">
            <v>1.05454</v>
          </cell>
          <cell r="AI20">
            <v>1.05528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C22"/>
          <cell r="D22">
            <v>53985140.832150012</v>
          </cell>
          <cell r="E22">
            <v>5425808</v>
          </cell>
          <cell r="F22">
            <v>5179213</v>
          </cell>
          <cell r="G22">
            <v>4669616</v>
          </cell>
          <cell r="H22">
            <v>4469791</v>
          </cell>
          <cell r="I22">
            <v>3781786.2590100006</v>
          </cell>
          <cell r="J22">
            <v>3793045.0865599997</v>
          </cell>
          <cell r="K22">
            <v>4584207.3427500008</v>
          </cell>
          <cell r="L22">
            <v>4553152.3494800003</v>
          </cell>
          <cell r="M22">
            <v>4131969.9585399996</v>
          </cell>
          <cell r="N22">
            <v>4532316.35941</v>
          </cell>
          <cell r="O22">
            <v>3724536.3533399999</v>
          </cell>
          <cell r="P22">
            <v>5139699.1230600001</v>
          </cell>
          <cell r="T22">
            <v>19</v>
          </cell>
          <cell r="U22" t="str">
            <v>Transportation firm</v>
          </cell>
          <cell r="W22"/>
          <cell r="X22">
            <v>5141274.8866499998</v>
          </cell>
          <cell r="Y22">
            <v>4920967.5390800005</v>
          </cell>
          <cell r="Z22">
            <v>4779708.0421099998</v>
          </cell>
          <cell r="AA22">
            <v>3581673.1094800001</v>
          </cell>
          <cell r="AB22">
            <v>3177744.4118400002</v>
          </cell>
          <cell r="AC22">
            <v>3060701.4887199998</v>
          </cell>
          <cell r="AD22">
            <v>3077657.9619999998</v>
          </cell>
          <cell r="AE22">
            <v>3030374.5224500005</v>
          </cell>
          <cell r="AF22">
            <v>2856852.0765899997</v>
          </cell>
          <cell r="AG22">
            <v>2949321.4818900004</v>
          </cell>
          <cell r="AH22">
            <v>3504417.80088</v>
          </cell>
          <cell r="AI22">
            <v>4304945.1115199998</v>
          </cell>
        </row>
        <row r="23">
          <cell r="A23">
            <v>20</v>
          </cell>
          <cell r="B23" t="str">
            <v>Interruptible transportation</v>
          </cell>
          <cell r="C23"/>
          <cell r="D23">
            <v>2001415.8189900001</v>
          </cell>
          <cell r="E23">
            <v>167600</v>
          </cell>
          <cell r="F23">
            <v>125954</v>
          </cell>
          <cell r="G23">
            <v>186525</v>
          </cell>
          <cell r="H23">
            <v>86400</v>
          </cell>
          <cell r="I23">
            <v>96658.496040000013</v>
          </cell>
          <cell r="J23">
            <v>103222.72503999999</v>
          </cell>
          <cell r="K23">
            <v>394547.82675000001</v>
          </cell>
          <cell r="L23">
            <v>349238.78473000001</v>
          </cell>
          <cell r="M23">
            <v>273619.63834</v>
          </cell>
          <cell r="N23">
            <v>119390.34723</v>
          </cell>
          <cell r="O23">
            <v>50738.924939999997</v>
          </cell>
          <cell r="P23">
            <v>47520.075920000003</v>
          </cell>
          <cell r="T23">
            <v>20</v>
          </cell>
          <cell r="U23" t="str">
            <v>Interruptible transportation</v>
          </cell>
          <cell r="W23"/>
          <cell r="X23">
            <v>160862.84205000001</v>
          </cell>
          <cell r="Y23">
            <v>56875.683940000003</v>
          </cell>
          <cell r="Z23">
            <v>183396.69295</v>
          </cell>
          <cell r="AA23">
            <v>272038.13192000001</v>
          </cell>
          <cell r="AB23">
            <v>403894.95168</v>
          </cell>
          <cell r="AC23">
            <v>596265.22032999992</v>
          </cell>
          <cell r="AD23">
            <v>901417.91232</v>
          </cell>
          <cell r="AE23">
            <v>749852.55290000013</v>
          </cell>
          <cell r="AF23">
            <v>838329.08003999991</v>
          </cell>
          <cell r="AG23">
            <v>626882.5793300001</v>
          </cell>
          <cell r="AH23">
            <v>231103.49554</v>
          </cell>
          <cell r="AI23">
            <v>395161.20408</v>
          </cell>
        </row>
        <row r="24">
          <cell r="A24">
            <v>21</v>
          </cell>
          <cell r="B24" t="str">
            <v>Less: ESNG to DE, MD &amp; SP</v>
          </cell>
          <cell r="C24"/>
          <cell r="D24">
            <v>-12110536.455489997</v>
          </cell>
          <cell r="E24">
            <v>-1797201</v>
          </cell>
          <cell r="F24">
            <v>-1553277</v>
          </cell>
          <cell r="G24">
            <v>-1370157</v>
          </cell>
          <cell r="H24">
            <v>-922527</v>
          </cell>
          <cell r="I24">
            <v>-717630.56934000005</v>
          </cell>
          <cell r="J24">
            <v>-579415.17463999998</v>
          </cell>
          <cell r="K24">
            <v>-540946.68425000005</v>
          </cell>
          <cell r="L24">
            <v>-575801.12202000001</v>
          </cell>
          <cell r="M24">
            <v>-603160.37657999992</v>
          </cell>
          <cell r="N24">
            <v>-801971.42862000002</v>
          </cell>
          <cell r="O24">
            <v>-1053915.2049799999</v>
          </cell>
          <cell r="P24">
            <v>-1594533.89506</v>
          </cell>
          <cell r="T24">
            <v>21</v>
          </cell>
          <cell r="U24" t="str">
            <v>Less: ESNG to DE, MD and SP</v>
          </cell>
          <cell r="W24"/>
          <cell r="X24">
            <v>-1881229.73805</v>
          </cell>
          <cell r="Y24">
            <v>-1941784.0036200001</v>
          </cell>
          <cell r="Z24">
            <v>-1497838.3938399998</v>
          </cell>
          <cell r="AA24">
            <v>-819279.13136</v>
          </cell>
          <cell r="AB24">
            <v>-562528.94111999997</v>
          </cell>
          <cell r="AC24">
            <v>-534523.37489999994</v>
          </cell>
          <cell r="AD24">
            <v>-498435.70035999996</v>
          </cell>
          <cell r="AE24">
            <v>-533223.88020000001</v>
          </cell>
          <cell r="AF24">
            <v>-576917.55134999997</v>
          </cell>
          <cell r="AG24">
            <v>-766051.84483000007</v>
          </cell>
          <cell r="AH24">
            <v>-940130.84632000001</v>
          </cell>
          <cell r="AI24">
            <v>-1052941.4995200001</v>
          </cell>
        </row>
        <row r="25">
          <cell r="A25">
            <v>22</v>
          </cell>
          <cell r="B25" t="str">
            <v>Total Deliveries</v>
          </cell>
          <cell r="C25"/>
          <cell r="D25">
            <v>0</v>
          </cell>
          <cell r="E25">
            <v>3796207</v>
          </cell>
          <cell r="F25">
            <v>3751890</v>
          </cell>
          <cell r="G25">
            <v>3485984</v>
          </cell>
          <cell r="H25">
            <v>3633664</v>
          </cell>
          <cell r="I25">
            <v>3160814.1857100008</v>
          </cell>
          <cell r="J25">
            <v>3316852.6369599998</v>
          </cell>
          <cell r="K25">
            <v>4437808.4852500008</v>
          </cell>
          <cell r="L25">
            <v>4326590.0121900011</v>
          </cell>
          <cell r="M25">
            <v>3802429.2202999992</v>
          </cell>
          <cell r="N25">
            <v>3849735.2780200006</v>
          </cell>
          <cell r="O25">
            <v>2721360.0732999998</v>
          </cell>
          <cell r="P25">
            <v>3592685.3039199999</v>
          </cell>
          <cell r="T25">
            <v>22</v>
          </cell>
          <cell r="U25" t="str">
            <v>Total Deliveries</v>
          </cell>
          <cell r="V25"/>
          <cell r="W25"/>
          <cell r="X25">
            <v>3420907.9906500001</v>
          </cell>
          <cell r="Y25">
            <v>3036059.2194000003</v>
          </cell>
          <cell r="Z25">
            <v>3465266.3412199998</v>
          </cell>
          <cell r="AA25">
            <v>3034432.1100400002</v>
          </cell>
          <cell r="AB25">
            <v>3019110.4224</v>
          </cell>
          <cell r="AC25">
            <v>3122443.3341499995</v>
          </cell>
          <cell r="AD25">
            <v>3480640.1739599998</v>
          </cell>
          <cell r="AE25">
            <v>3247003.1951500005</v>
          </cell>
          <cell r="AF25">
            <v>3118263.6052799998</v>
          </cell>
          <cell r="AG25">
            <v>2810152.2163900007</v>
          </cell>
          <cell r="AH25">
            <v>2795390.4501</v>
          </cell>
          <cell r="AI25">
            <v>3647164.8160799993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47394386</v>
          </cell>
          <cell r="E29">
            <v>5420569</v>
          </cell>
          <cell r="F29">
            <v>4957539</v>
          </cell>
          <cell r="G29">
            <v>5030603</v>
          </cell>
          <cell r="H29">
            <v>3556997</v>
          </cell>
          <cell r="I29">
            <v>3279389</v>
          </cell>
          <cell r="J29">
            <v>3155285</v>
          </cell>
          <cell r="K29">
            <v>3209004</v>
          </cell>
          <cell r="L29">
            <v>3178578</v>
          </cell>
          <cell r="M29">
            <v>3118279</v>
          </cell>
          <cell r="N29">
            <v>3946975</v>
          </cell>
          <cell r="O29">
            <v>4516693</v>
          </cell>
          <cell r="P29">
            <v>4024475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-11431269</v>
          </cell>
          <cell r="E30">
            <v>-1810534</v>
          </cell>
          <cell r="F30">
            <v>-1688193</v>
          </cell>
          <cell r="G30">
            <v>-1445425</v>
          </cell>
          <cell r="H30">
            <v>-764910</v>
          </cell>
          <cell r="I30">
            <v>-542939</v>
          </cell>
          <cell r="J30">
            <v>-496694</v>
          </cell>
          <cell r="K30">
            <v>-466630</v>
          </cell>
          <cell r="L30">
            <v>-486547</v>
          </cell>
          <cell r="M30">
            <v>-551346</v>
          </cell>
          <cell r="N30">
            <v>-697097</v>
          </cell>
          <cell r="O30">
            <v>-1099777</v>
          </cell>
          <cell r="P30">
            <v>-1381177</v>
          </cell>
          <cell r="T30">
            <v>27</v>
          </cell>
        </row>
        <row r="31">
          <cell r="A31">
            <v>28</v>
          </cell>
          <cell r="D31">
            <v>35963117</v>
          </cell>
          <cell r="E31">
            <v>3610035</v>
          </cell>
          <cell r="F31">
            <v>3269346</v>
          </cell>
          <cell r="G31">
            <v>3585178</v>
          </cell>
          <cell r="H31">
            <v>2792087</v>
          </cell>
          <cell r="I31">
            <v>2736450</v>
          </cell>
          <cell r="J31">
            <v>2658591</v>
          </cell>
          <cell r="K31">
            <v>2742374</v>
          </cell>
          <cell r="L31">
            <v>2692031</v>
          </cell>
          <cell r="M31">
            <v>2566933</v>
          </cell>
          <cell r="N31">
            <v>3249878</v>
          </cell>
          <cell r="O31">
            <v>3416916</v>
          </cell>
          <cell r="P31">
            <v>2643298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49053189.509999998</v>
          </cell>
          <cell r="E33">
            <v>5610288.9149999991</v>
          </cell>
          <cell r="F33">
            <v>5131052.8649999993</v>
          </cell>
          <cell r="G33">
            <v>5206674.1049999995</v>
          </cell>
          <cell r="H33">
            <v>3681491.8949999996</v>
          </cell>
          <cell r="I33">
            <v>3394167.6149999998</v>
          </cell>
          <cell r="J33">
            <v>3265719.9749999996</v>
          </cell>
          <cell r="K33">
            <v>3321319.1399999997</v>
          </cell>
          <cell r="L33">
            <v>3289828.2299999995</v>
          </cell>
          <cell r="M33">
            <v>3227418.7649999997</v>
          </cell>
          <cell r="N33">
            <v>4085119.1249999995</v>
          </cell>
          <cell r="O33">
            <v>4674777.2549999999</v>
          </cell>
          <cell r="P33">
            <v>4165331.6249999995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-11831363.414999999</v>
          </cell>
          <cell r="E34">
            <v>-1873902.69</v>
          </cell>
          <cell r="F34">
            <v>-1747279.7549999999</v>
          </cell>
          <cell r="G34">
            <v>-1496014.875</v>
          </cell>
          <cell r="H34">
            <v>-791681.85</v>
          </cell>
          <cell r="I34">
            <v>-561941.86499999999</v>
          </cell>
          <cell r="J34">
            <v>-514078.29</v>
          </cell>
          <cell r="K34">
            <v>-482962.05</v>
          </cell>
          <cell r="L34">
            <v>-503576.14499999996</v>
          </cell>
          <cell r="M34">
            <v>-570643.11</v>
          </cell>
          <cell r="N34">
            <v>-721495.3949999999</v>
          </cell>
          <cell r="O34">
            <v>-1138269.1949999998</v>
          </cell>
          <cell r="P34">
            <v>-1429518.1949999998</v>
          </cell>
          <cell r="T34">
            <v>31</v>
          </cell>
        </row>
        <row r="35">
          <cell r="A35">
            <v>32</v>
          </cell>
          <cell r="D35">
            <v>37221826.094999999</v>
          </cell>
          <cell r="E35">
            <v>3736386.2249999992</v>
          </cell>
          <cell r="F35">
            <v>3383773.1099999994</v>
          </cell>
          <cell r="G35">
            <v>3710659.2299999995</v>
          </cell>
          <cell r="H35">
            <v>2889810.0449999995</v>
          </cell>
          <cell r="I35">
            <v>2832225.75</v>
          </cell>
          <cell r="J35">
            <v>2751641.6849999996</v>
          </cell>
          <cell r="K35">
            <v>2838357.09</v>
          </cell>
          <cell r="L35">
            <v>2786252.0849999995</v>
          </cell>
          <cell r="M35">
            <v>2656775.6549999998</v>
          </cell>
          <cell r="N35">
            <v>3363623.7299999995</v>
          </cell>
          <cell r="O35">
            <v>3536508.06</v>
          </cell>
          <cell r="P35">
            <v>2735813.4299999997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- 2015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22</v>
          </cell>
          <cell r="F43">
            <v>19.5</v>
          </cell>
          <cell r="G43">
            <v>18.666666666666668</v>
          </cell>
          <cell r="H43">
            <v>18.25</v>
          </cell>
          <cell r="I43">
            <v>18.2</v>
          </cell>
          <cell r="J43">
            <v>18</v>
          </cell>
          <cell r="K43">
            <v>18</v>
          </cell>
          <cell r="L43">
            <v>17.875</v>
          </cell>
          <cell r="M43">
            <v>18</v>
          </cell>
          <cell r="N43">
            <v>18</v>
          </cell>
          <cell r="O43">
            <v>18</v>
          </cell>
          <cell r="P43">
            <v>17.916666666666668</v>
          </cell>
          <cell r="T43">
            <v>40</v>
          </cell>
          <cell r="U43" t="str">
            <v>Interruptible transporation</v>
          </cell>
          <cell r="V43"/>
          <cell r="W43"/>
          <cell r="X43">
            <v>19</v>
          </cell>
          <cell r="Y43">
            <v>19</v>
          </cell>
          <cell r="Z43">
            <v>19</v>
          </cell>
          <cell r="AA43">
            <v>19.25</v>
          </cell>
          <cell r="AB43">
            <v>19.2</v>
          </cell>
          <cell r="AC43">
            <v>19</v>
          </cell>
          <cell r="AD43">
            <v>19.142857142857142</v>
          </cell>
          <cell r="AE43">
            <v>19.125</v>
          </cell>
          <cell r="AF43">
            <v>19.333333333333332</v>
          </cell>
          <cell r="AG43">
            <v>19.2</v>
          </cell>
          <cell r="AH43">
            <v>19.181818181818183</v>
          </cell>
          <cell r="AI43">
            <v>19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19</v>
          </cell>
          <cell r="F45">
            <v>16.5</v>
          </cell>
          <cell r="G45">
            <v>15.666666666666668</v>
          </cell>
          <cell r="H45">
            <v>15.25</v>
          </cell>
          <cell r="I45">
            <v>15.2</v>
          </cell>
          <cell r="J45">
            <v>15</v>
          </cell>
          <cell r="K45">
            <v>15</v>
          </cell>
          <cell r="L45">
            <v>14.875</v>
          </cell>
          <cell r="M45">
            <v>15</v>
          </cell>
          <cell r="N45">
            <v>15</v>
          </cell>
          <cell r="O45">
            <v>15</v>
          </cell>
          <cell r="P45">
            <v>14.916666666666668</v>
          </cell>
          <cell r="T45">
            <v>42</v>
          </cell>
          <cell r="U45" t="str">
            <v>Total customers</v>
          </cell>
          <cell r="V45"/>
          <cell r="W45"/>
          <cell r="X45">
            <v>16</v>
          </cell>
          <cell r="Y45">
            <v>16</v>
          </cell>
          <cell r="Z45">
            <v>16</v>
          </cell>
          <cell r="AA45">
            <v>16.25</v>
          </cell>
          <cell r="AB45">
            <v>16.2</v>
          </cell>
          <cell r="AC45">
            <v>16</v>
          </cell>
          <cell r="AD45">
            <v>16.142857142857142</v>
          </cell>
          <cell r="AE45">
            <v>16.125</v>
          </cell>
          <cell r="AF45">
            <v>16.333333333333332</v>
          </cell>
          <cell r="AG45">
            <v>16.2</v>
          </cell>
          <cell r="AH45">
            <v>16.181818181818183</v>
          </cell>
          <cell r="AI45">
            <v>16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- 2015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5120571</v>
          </cell>
          <cell r="F51">
            <v>10019469</v>
          </cell>
          <cell r="G51">
            <v>14449677</v>
          </cell>
          <cell r="H51">
            <v>18682674</v>
          </cell>
          <cell r="I51">
            <v>22280161</v>
          </cell>
          <cell r="J51">
            <v>25885443</v>
          </cell>
          <cell r="K51">
            <v>30223878</v>
          </cell>
          <cell r="L51">
            <v>34537250</v>
          </cell>
          <cell r="M51">
            <v>38456707</v>
          </cell>
          <cell r="N51">
            <v>42762414</v>
          </cell>
          <cell r="O51">
            <v>46301973</v>
          </cell>
          <cell r="P51">
            <v>51185112</v>
          </cell>
          <cell r="T51">
            <v>48</v>
          </cell>
          <cell r="U51" t="str">
            <v>Transportation firm</v>
          </cell>
          <cell r="W51"/>
          <cell r="X51">
            <v>4841809</v>
          </cell>
          <cell r="Y51">
            <v>9464997</v>
          </cell>
          <cell r="Z51">
            <v>13959020</v>
          </cell>
          <cell r="AA51">
            <v>17342937</v>
          </cell>
          <cell r="AB51">
            <v>20343980</v>
          </cell>
          <cell r="AC51">
            <v>23223204</v>
          </cell>
          <cell r="AD51">
            <v>26131154</v>
          </cell>
          <cell r="AE51">
            <v>28999333</v>
          </cell>
          <cell r="AF51">
            <v>31707070</v>
          </cell>
          <cell r="AG51">
            <v>34490683</v>
          </cell>
          <cell r="AH51">
            <v>37813855</v>
          </cell>
          <cell r="AI51">
            <v>41893289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158171</v>
          </cell>
          <cell r="F52">
            <v>277308</v>
          </cell>
          <cell r="G52">
            <v>454270</v>
          </cell>
          <cell r="H52">
            <v>536093</v>
          </cell>
          <cell r="I52">
            <v>628041</v>
          </cell>
          <cell r="J52">
            <v>726154</v>
          </cell>
          <cell r="K52">
            <v>1099549</v>
          </cell>
          <cell r="L52">
            <v>1430396</v>
          </cell>
          <cell r="M52">
            <v>1689943</v>
          </cell>
          <cell r="N52">
            <v>1803364</v>
          </cell>
          <cell r="O52">
            <v>1851583</v>
          </cell>
          <cell r="P52">
            <v>1896731</v>
          </cell>
          <cell r="T52">
            <v>49</v>
          </cell>
          <cell r="U52" t="str">
            <v>Interruptible transporation</v>
          </cell>
          <cell r="W52"/>
          <cell r="X52">
            <v>151493</v>
          </cell>
          <cell r="Y52">
            <v>204927</v>
          </cell>
          <cell r="Z52">
            <v>377362</v>
          </cell>
          <cell r="AA52">
            <v>634380</v>
          </cell>
          <cell r="AB52">
            <v>1015816</v>
          </cell>
          <cell r="AC52">
            <v>1576727</v>
          </cell>
          <cell r="AD52">
            <v>2428439</v>
          </cell>
          <cell r="AE52">
            <v>3138157</v>
          </cell>
          <cell r="AF52">
            <v>3932729</v>
          </cell>
          <cell r="AG52">
            <v>4524390</v>
          </cell>
          <cell r="AH52">
            <v>4743541</v>
          </cell>
          <cell r="AI52">
            <v>5118002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-1696097</v>
          </cell>
          <cell r="F53">
            <v>-3165306</v>
          </cell>
          <cell r="G53">
            <v>-4465216</v>
          </cell>
          <cell r="H53">
            <v>-5338871</v>
          </cell>
          <cell r="I53">
            <v>-6021529</v>
          </cell>
          <cell r="J53">
            <v>-6572262</v>
          </cell>
          <cell r="K53">
            <v>-7084207</v>
          </cell>
          <cell r="L53">
            <v>-7629685</v>
          </cell>
          <cell r="M53">
            <v>-8201824</v>
          </cell>
          <cell r="N53">
            <v>-8963698</v>
          </cell>
          <cell r="O53">
            <v>-9965271</v>
          </cell>
          <cell r="P53">
            <v>-11480210</v>
          </cell>
          <cell r="T53">
            <v>50</v>
          </cell>
          <cell r="U53" t="str">
            <v>Less: ESNG to DE, MD &amp; SP</v>
          </cell>
          <cell r="W53"/>
          <cell r="X53">
            <v>-1771653</v>
          </cell>
          <cell r="Y53">
            <v>-3595935</v>
          </cell>
          <cell r="Z53">
            <v>-5004247</v>
          </cell>
          <cell r="AA53">
            <v>-5778291</v>
          </cell>
          <cell r="AB53">
            <v>-6309540</v>
          </cell>
          <cell r="AC53">
            <v>-6812370</v>
          </cell>
          <cell r="AD53">
            <v>-7283321</v>
          </cell>
          <cell r="AE53">
            <v>-7788005</v>
          </cell>
          <cell r="AF53">
            <v>-8334810</v>
          </cell>
          <cell r="AG53">
            <v>-9057821</v>
          </cell>
          <cell r="AH53">
            <v>-9949329</v>
          </cell>
          <cell r="AI53">
            <v>-10947113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3582645</v>
          </cell>
          <cell r="F54">
            <v>7131471</v>
          </cell>
          <cell r="G54">
            <v>10438731</v>
          </cell>
          <cell r="H54">
            <v>13879896</v>
          </cell>
          <cell r="I54">
            <v>16886673</v>
          </cell>
          <cell r="J54">
            <v>20039335</v>
          </cell>
          <cell r="K54">
            <v>24239220</v>
          </cell>
          <cell r="L54">
            <v>28337961</v>
          </cell>
          <cell r="M54">
            <v>31944826</v>
          </cell>
          <cell r="N54">
            <v>35602080</v>
          </cell>
          <cell r="O54">
            <v>38188285</v>
          </cell>
          <cell r="P54">
            <v>41601633</v>
          </cell>
          <cell r="T54">
            <v>51</v>
          </cell>
          <cell r="U54" t="str">
            <v>Total Deliveries</v>
          </cell>
          <cell r="V54"/>
          <cell r="W54"/>
          <cell r="X54">
            <v>3221649</v>
          </cell>
          <cell r="Y54">
            <v>6073989</v>
          </cell>
          <cell r="Z54">
            <v>9332135</v>
          </cell>
          <cell r="AA54">
            <v>12199026</v>
          </cell>
          <cell r="AB54">
            <v>15050256</v>
          </cell>
          <cell r="AC54">
            <v>17987561</v>
          </cell>
          <cell r="AD54">
            <v>21276272</v>
          </cell>
          <cell r="AE54">
            <v>24349485</v>
          </cell>
          <cell r="AF54">
            <v>27304989</v>
          </cell>
          <cell r="AG54">
            <v>29957252</v>
          </cell>
          <cell r="AH54">
            <v>32608067</v>
          </cell>
          <cell r="AI54">
            <v>36064178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5425808</v>
          </cell>
          <cell r="F58">
            <v>10605021</v>
          </cell>
          <cell r="G58">
            <v>15274637</v>
          </cell>
          <cell r="H58">
            <v>19744428</v>
          </cell>
          <cell r="I58">
            <v>23526214.259010002</v>
          </cell>
          <cell r="J58">
            <v>27319259.345570002</v>
          </cell>
          <cell r="K58">
            <v>31903466.688320003</v>
          </cell>
          <cell r="L58">
            <v>36456619.037800007</v>
          </cell>
          <cell r="M58">
            <v>40588588.996340007</v>
          </cell>
          <cell r="N58">
            <v>45120905.355750009</v>
          </cell>
          <cell r="O58">
            <v>48845441.709090009</v>
          </cell>
          <cell r="P58">
            <v>53985140.832150012</v>
          </cell>
          <cell r="T58">
            <v>55</v>
          </cell>
          <cell r="U58" t="str">
            <v>Transportation firm</v>
          </cell>
          <cell r="W58"/>
          <cell r="X58">
            <v>5141274.8866499998</v>
          </cell>
          <cell r="Y58">
            <v>10062242.425730001</v>
          </cell>
          <cell r="Z58">
            <v>14841950.467840001</v>
          </cell>
          <cell r="AA58">
            <v>18423623.577320002</v>
          </cell>
          <cell r="AB58">
            <v>21601367.989160001</v>
          </cell>
          <cell r="AC58">
            <v>24662069.477880001</v>
          </cell>
          <cell r="AD58">
            <v>27739727.439880002</v>
          </cell>
          <cell r="AE58">
            <v>30770101.962330002</v>
          </cell>
          <cell r="AF58">
            <v>33626954.03892</v>
          </cell>
          <cell r="AG58">
            <v>36576275.520810001</v>
          </cell>
          <cell r="AH58">
            <v>40080693.321690001</v>
          </cell>
          <cell r="AI58">
            <v>44385638.43321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167600</v>
          </cell>
          <cell r="F59">
            <v>293554</v>
          </cell>
          <cell r="G59">
            <v>480079</v>
          </cell>
          <cell r="H59">
            <v>566479</v>
          </cell>
          <cell r="I59">
            <v>663137.49604</v>
          </cell>
          <cell r="J59">
            <v>766360.22108000005</v>
          </cell>
          <cell r="K59">
            <v>1160908.0478300001</v>
          </cell>
          <cell r="L59">
            <v>1510146.83256</v>
          </cell>
          <cell r="M59">
            <v>1783766.4709000001</v>
          </cell>
          <cell r="N59">
            <v>1903156.81813</v>
          </cell>
          <cell r="O59">
            <v>1953895.7430700001</v>
          </cell>
          <cell r="P59">
            <v>2001415.8189900001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-1797201</v>
          </cell>
          <cell r="F60">
            <v>-3350478</v>
          </cell>
          <cell r="G60">
            <v>-4720635</v>
          </cell>
          <cell r="H60">
            <v>-5643162</v>
          </cell>
          <cell r="I60">
            <v>-6360792.5693399999</v>
          </cell>
          <cell r="J60">
            <v>-6940207.7439799998</v>
          </cell>
          <cell r="K60">
            <v>-7481154.4282299997</v>
          </cell>
          <cell r="L60">
            <v>-8056955.5502499994</v>
          </cell>
          <cell r="M60">
            <v>-8660115.9268299993</v>
          </cell>
          <cell r="N60">
            <v>-9462087.3554499988</v>
          </cell>
          <cell r="O60">
            <v>-10516002.560429998</v>
          </cell>
          <cell r="P60">
            <v>-12110536.455489997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3796207</v>
          </cell>
          <cell r="F61">
            <v>7548097</v>
          </cell>
          <cell r="G61">
            <v>11034081</v>
          </cell>
          <cell r="H61">
            <v>14667745</v>
          </cell>
          <cell r="I61">
            <v>17828559.185710005</v>
          </cell>
          <cell r="J61">
            <v>21145411.822670005</v>
          </cell>
          <cell r="K61">
            <v>25583220.307920005</v>
          </cell>
          <cell r="L61">
            <v>29909810.320110008</v>
          </cell>
          <cell r="M61">
            <v>33712239.540410005</v>
          </cell>
          <cell r="N61">
            <v>37561974.818430014</v>
          </cell>
          <cell r="O61">
            <v>40283334.891730011</v>
          </cell>
          <cell r="P61">
            <v>43876020.195650011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5420569</v>
          </cell>
          <cell r="F66">
            <v>10378108</v>
          </cell>
          <cell r="G66">
            <v>15408711</v>
          </cell>
          <cell r="H66">
            <v>18965708</v>
          </cell>
          <cell r="I66">
            <v>22245097</v>
          </cell>
          <cell r="J66">
            <v>25400382</v>
          </cell>
          <cell r="K66">
            <v>28609386</v>
          </cell>
          <cell r="L66">
            <v>31787964</v>
          </cell>
          <cell r="M66">
            <v>34906243</v>
          </cell>
          <cell r="N66">
            <v>38853218</v>
          </cell>
          <cell r="O66">
            <v>43369911</v>
          </cell>
          <cell r="P66">
            <v>47394386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-1810534</v>
          </cell>
          <cell r="F67">
            <v>-3498727</v>
          </cell>
          <cell r="G67">
            <v>-4944152</v>
          </cell>
          <cell r="H67">
            <v>-5709062</v>
          </cell>
          <cell r="I67">
            <v>-6252001</v>
          </cell>
          <cell r="J67">
            <v>-6748695</v>
          </cell>
          <cell r="K67">
            <v>-7215325</v>
          </cell>
          <cell r="L67">
            <v>-7701872</v>
          </cell>
          <cell r="M67">
            <v>-8253218</v>
          </cell>
          <cell r="N67">
            <v>-8950315</v>
          </cell>
          <cell r="O67">
            <v>-10050092</v>
          </cell>
          <cell r="P67">
            <v>-11431269</v>
          </cell>
        </row>
        <row r="68">
          <cell r="A68">
            <v>65</v>
          </cell>
          <cell r="D68"/>
          <cell r="E68">
            <v>3610035</v>
          </cell>
          <cell r="F68">
            <v>6879381</v>
          </cell>
          <cell r="G68">
            <v>10464559</v>
          </cell>
          <cell r="H68">
            <v>13256646</v>
          </cell>
          <cell r="I68">
            <v>15993096</v>
          </cell>
          <cell r="J68">
            <v>18651687</v>
          </cell>
          <cell r="K68">
            <v>21394061</v>
          </cell>
          <cell r="L68">
            <v>24086092</v>
          </cell>
          <cell r="M68">
            <v>26653025</v>
          </cell>
          <cell r="N68">
            <v>29902903</v>
          </cell>
          <cell r="O68">
            <v>33319819</v>
          </cell>
          <cell r="P68">
            <v>35963117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5610288.9149999991</v>
          </cell>
          <cell r="F70">
            <v>10741341.779999997</v>
          </cell>
          <cell r="G70">
            <v>15948015.884999998</v>
          </cell>
          <cell r="H70">
            <v>19629507.779999997</v>
          </cell>
          <cell r="I70">
            <v>23023675.394999996</v>
          </cell>
          <cell r="J70">
            <v>26289395.369999997</v>
          </cell>
          <cell r="K70">
            <v>29610714.509999998</v>
          </cell>
          <cell r="L70">
            <v>32900542.739999998</v>
          </cell>
          <cell r="M70">
            <v>36127961.504999995</v>
          </cell>
          <cell r="N70">
            <v>40213080.629999995</v>
          </cell>
          <cell r="O70">
            <v>44887857.884999998</v>
          </cell>
          <cell r="P70">
            <v>49053189.509999998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-1873902.69</v>
          </cell>
          <cell r="F71">
            <v>-3621182.4449999998</v>
          </cell>
          <cell r="G71">
            <v>-5117197.32</v>
          </cell>
          <cell r="H71">
            <v>-5908879.1699999999</v>
          </cell>
          <cell r="I71">
            <v>-6470821.0350000001</v>
          </cell>
          <cell r="J71">
            <v>-6984899.3250000002</v>
          </cell>
          <cell r="K71">
            <v>-7467861.375</v>
          </cell>
          <cell r="L71">
            <v>-7971437.5199999996</v>
          </cell>
          <cell r="M71">
            <v>-8542080.629999999</v>
          </cell>
          <cell r="N71">
            <v>-9263576.0249999985</v>
          </cell>
          <cell r="O71">
            <v>-10401845.219999999</v>
          </cell>
          <cell r="P71">
            <v>-11831363.414999999</v>
          </cell>
        </row>
        <row r="72">
          <cell r="D72"/>
          <cell r="E72">
            <v>3736386.2249999992</v>
          </cell>
          <cell r="F72">
            <v>7120159.3349999972</v>
          </cell>
          <cell r="G72">
            <v>10830818.564999998</v>
          </cell>
          <cell r="H72">
            <v>13720628.609999998</v>
          </cell>
          <cell r="I72">
            <v>16552854.359999996</v>
          </cell>
          <cell r="J72">
            <v>19304496.044999998</v>
          </cell>
          <cell r="K72">
            <v>22142853.134999998</v>
          </cell>
          <cell r="L72">
            <v>24929105.219999999</v>
          </cell>
          <cell r="M72">
            <v>27585880.874999996</v>
          </cell>
          <cell r="N72">
            <v>30949504.604999997</v>
          </cell>
          <cell r="O72">
            <v>34486012.664999999</v>
          </cell>
          <cell r="P72">
            <v>37221826.094999999</v>
          </cell>
        </row>
      </sheetData>
      <sheetData sheetId="15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9535</v>
          </cell>
          <cell r="E5">
            <v>9586</v>
          </cell>
          <cell r="F5">
            <v>9582</v>
          </cell>
          <cell r="G5">
            <v>9569</v>
          </cell>
          <cell r="H5">
            <v>9540</v>
          </cell>
          <cell r="I5">
            <v>9521</v>
          </cell>
          <cell r="J5">
            <v>9526</v>
          </cell>
          <cell r="K5">
            <v>9525</v>
          </cell>
          <cell r="L5">
            <v>9507</v>
          </cell>
          <cell r="M5">
            <v>9488</v>
          </cell>
          <cell r="N5">
            <v>9495</v>
          </cell>
          <cell r="O5">
            <v>9522</v>
          </cell>
          <cell r="P5">
            <v>9562</v>
          </cell>
          <cell r="T5">
            <v>2</v>
          </cell>
          <cell r="U5" t="str">
            <v>Residential</v>
          </cell>
          <cell r="V5">
            <v>9649</v>
          </cell>
          <cell r="W5">
            <v>115783</v>
          </cell>
          <cell r="X5">
            <v>9803</v>
          </cell>
          <cell r="Y5">
            <v>9772</v>
          </cell>
          <cell r="Z5">
            <v>9765</v>
          </cell>
          <cell r="AA5">
            <v>9697</v>
          </cell>
          <cell r="AB5">
            <v>9651</v>
          </cell>
          <cell r="AC5">
            <v>9626</v>
          </cell>
          <cell r="AD5">
            <v>9592</v>
          </cell>
          <cell r="AE5">
            <v>9589</v>
          </cell>
          <cell r="AF5">
            <v>9570</v>
          </cell>
          <cell r="AG5">
            <v>9572</v>
          </cell>
          <cell r="AH5">
            <v>9566</v>
          </cell>
          <cell r="AI5">
            <v>9580</v>
          </cell>
        </row>
        <row r="6">
          <cell r="A6">
            <v>3</v>
          </cell>
          <cell r="B6" t="str">
            <v>Commercial</v>
          </cell>
          <cell r="C6"/>
          <cell r="D6">
            <v>1062</v>
          </cell>
          <cell r="E6">
            <v>1038</v>
          </cell>
          <cell r="F6">
            <v>1040</v>
          </cell>
          <cell r="G6">
            <v>1036</v>
          </cell>
          <cell r="H6">
            <v>1049</v>
          </cell>
          <cell r="I6">
            <v>1067</v>
          </cell>
          <cell r="J6">
            <v>1085</v>
          </cell>
          <cell r="K6">
            <v>1087</v>
          </cell>
          <cell r="L6">
            <v>1089</v>
          </cell>
          <cell r="M6">
            <v>1092</v>
          </cell>
          <cell r="N6">
            <v>1081</v>
          </cell>
          <cell r="O6">
            <v>1048</v>
          </cell>
          <cell r="P6">
            <v>1029</v>
          </cell>
          <cell r="T6">
            <v>3</v>
          </cell>
          <cell r="U6" t="str">
            <v>Commercial</v>
          </cell>
          <cell r="V6">
            <v>1069</v>
          </cell>
          <cell r="W6">
            <v>12822</v>
          </cell>
          <cell r="X6">
            <v>1056</v>
          </cell>
          <cell r="Y6">
            <v>1052</v>
          </cell>
          <cell r="Z6">
            <v>1049</v>
          </cell>
          <cell r="AA6">
            <v>1050</v>
          </cell>
          <cell r="AB6">
            <v>1081</v>
          </cell>
          <cell r="AC6">
            <v>1089</v>
          </cell>
          <cell r="AD6">
            <v>1096</v>
          </cell>
          <cell r="AE6">
            <v>1095</v>
          </cell>
          <cell r="AF6">
            <v>1094</v>
          </cell>
          <cell r="AG6">
            <v>1078</v>
          </cell>
          <cell r="AH6">
            <v>1048</v>
          </cell>
          <cell r="AI6">
            <v>1034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5</v>
          </cell>
          <cell r="E7">
            <v>4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11</v>
          </cell>
          <cell r="T7">
            <v>4</v>
          </cell>
          <cell r="U7" t="str">
            <v xml:space="preserve">Industrial </v>
          </cell>
          <cell r="V7">
            <v>4</v>
          </cell>
          <cell r="W7">
            <v>51</v>
          </cell>
          <cell r="X7">
            <v>4</v>
          </cell>
          <cell r="Y7">
            <v>4</v>
          </cell>
          <cell r="Z7">
            <v>4</v>
          </cell>
          <cell r="AA7">
            <v>4</v>
          </cell>
          <cell r="AB7">
            <v>4</v>
          </cell>
          <cell r="AC7">
            <v>4</v>
          </cell>
          <cell r="AD7">
            <v>4</v>
          </cell>
          <cell r="AE7">
            <v>5</v>
          </cell>
          <cell r="AF7">
            <v>5</v>
          </cell>
          <cell r="AG7">
            <v>5</v>
          </cell>
          <cell r="AH7">
            <v>4</v>
          </cell>
          <cell r="AI7">
            <v>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10602</v>
          </cell>
          <cell r="E9">
            <v>10628</v>
          </cell>
          <cell r="F9">
            <v>10626</v>
          </cell>
          <cell r="G9">
            <v>10609</v>
          </cell>
          <cell r="H9">
            <v>10593</v>
          </cell>
          <cell r="I9">
            <v>10592</v>
          </cell>
          <cell r="J9">
            <v>10615</v>
          </cell>
          <cell r="K9">
            <v>10616</v>
          </cell>
          <cell r="L9">
            <v>10601</v>
          </cell>
          <cell r="M9">
            <v>10585</v>
          </cell>
          <cell r="N9">
            <v>10581</v>
          </cell>
          <cell r="O9">
            <v>10575</v>
          </cell>
          <cell r="P9">
            <v>10602</v>
          </cell>
          <cell r="T9">
            <v>6</v>
          </cell>
          <cell r="U9" t="str">
            <v>Total customers</v>
          </cell>
          <cell r="V9">
            <v>10722</v>
          </cell>
          <cell r="W9">
            <v>128656</v>
          </cell>
          <cell r="X9">
            <v>10863</v>
          </cell>
          <cell r="Y9">
            <v>10828</v>
          </cell>
          <cell r="Z9">
            <v>10818</v>
          </cell>
          <cell r="AA9">
            <v>10751</v>
          </cell>
          <cell r="AB9">
            <v>10736</v>
          </cell>
          <cell r="AC9">
            <v>10719</v>
          </cell>
          <cell r="AD9">
            <v>10692</v>
          </cell>
          <cell r="AE9">
            <v>10689</v>
          </cell>
          <cell r="AF9">
            <v>10669</v>
          </cell>
          <cell r="AG9">
            <v>10655</v>
          </cell>
          <cell r="AH9">
            <v>10618</v>
          </cell>
          <cell r="AI9">
            <v>10618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223336</v>
          </cell>
          <cell r="E12">
            <v>33977</v>
          </cell>
          <cell r="F12">
            <v>45833</v>
          </cell>
          <cell r="G12">
            <v>33310</v>
          </cell>
          <cell r="H12">
            <v>20813</v>
          </cell>
          <cell r="I12">
            <v>13245</v>
          </cell>
          <cell r="J12">
            <v>7321</v>
          </cell>
          <cell r="K12">
            <v>6399</v>
          </cell>
          <cell r="L12">
            <v>5557</v>
          </cell>
          <cell r="M12">
            <v>5223</v>
          </cell>
          <cell r="N12">
            <v>6004</v>
          </cell>
          <cell r="O12">
            <v>13619</v>
          </cell>
          <cell r="P12">
            <v>32035</v>
          </cell>
          <cell r="T12">
            <v>9</v>
          </cell>
          <cell r="U12" t="str">
            <v>Residential</v>
          </cell>
          <cell r="W12">
            <v>269550</v>
          </cell>
          <cell r="X12">
            <v>50745</v>
          </cell>
          <cell r="Y12">
            <v>64437</v>
          </cell>
          <cell r="Z12">
            <v>56807</v>
          </cell>
          <cell r="AA12">
            <v>26054</v>
          </cell>
          <cell r="AB12">
            <v>10898</v>
          </cell>
          <cell r="AC12">
            <v>6341</v>
          </cell>
          <cell r="AD12">
            <v>5807</v>
          </cell>
          <cell r="AE12">
            <v>6088</v>
          </cell>
          <cell r="AF12">
            <v>5496</v>
          </cell>
          <cell r="AG12">
            <v>6701</v>
          </cell>
          <cell r="AH12">
            <v>11211</v>
          </cell>
          <cell r="AI12">
            <v>18965</v>
          </cell>
        </row>
        <row r="13">
          <cell r="A13">
            <v>10</v>
          </cell>
          <cell r="B13" t="str">
            <v>Commercial</v>
          </cell>
          <cell r="D13">
            <v>419965</v>
          </cell>
          <cell r="E13">
            <v>33991</v>
          </cell>
          <cell r="F13">
            <v>40227</v>
          </cell>
          <cell r="G13">
            <v>40760</v>
          </cell>
          <cell r="H13">
            <v>34365</v>
          </cell>
          <cell r="I13">
            <v>30403</v>
          </cell>
          <cell r="J13">
            <v>32496</v>
          </cell>
          <cell r="K13">
            <v>39159</v>
          </cell>
          <cell r="L13">
            <v>39543</v>
          </cell>
          <cell r="M13">
            <v>39138</v>
          </cell>
          <cell r="N13">
            <v>33889</v>
          </cell>
          <cell r="O13">
            <v>28649</v>
          </cell>
          <cell r="P13">
            <v>27345</v>
          </cell>
          <cell r="T13">
            <v>10</v>
          </cell>
          <cell r="U13" t="str">
            <v>Commercial</v>
          </cell>
          <cell r="W13">
            <v>447521</v>
          </cell>
          <cell r="X13">
            <v>42299</v>
          </cell>
          <cell r="Y13">
            <v>46024</v>
          </cell>
          <cell r="Z13">
            <v>50561</v>
          </cell>
          <cell r="AA13">
            <v>36316</v>
          </cell>
          <cell r="AB13">
            <v>30310</v>
          </cell>
          <cell r="AC13">
            <v>32679</v>
          </cell>
          <cell r="AD13">
            <v>39750</v>
          </cell>
          <cell r="AE13">
            <v>44573</v>
          </cell>
          <cell r="AF13">
            <v>39127</v>
          </cell>
          <cell r="AG13">
            <v>31764</v>
          </cell>
          <cell r="AH13">
            <v>25583</v>
          </cell>
          <cell r="AI13">
            <v>28535</v>
          </cell>
        </row>
        <row r="14">
          <cell r="A14">
            <v>11</v>
          </cell>
          <cell r="B14" t="str">
            <v xml:space="preserve">Industrial </v>
          </cell>
          <cell r="D14">
            <v>96196</v>
          </cell>
          <cell r="E14">
            <v>7875</v>
          </cell>
          <cell r="F14">
            <v>5524</v>
          </cell>
          <cell r="G14">
            <v>4044</v>
          </cell>
          <cell r="H14">
            <v>5796</v>
          </cell>
          <cell r="I14">
            <v>8663</v>
          </cell>
          <cell r="J14">
            <v>8779</v>
          </cell>
          <cell r="K14">
            <v>5484</v>
          </cell>
          <cell r="L14">
            <v>5321</v>
          </cell>
          <cell r="M14">
            <v>10258</v>
          </cell>
          <cell r="N14">
            <v>10976</v>
          </cell>
          <cell r="O14">
            <v>5231</v>
          </cell>
          <cell r="P14">
            <v>18245</v>
          </cell>
          <cell r="T14">
            <v>11</v>
          </cell>
          <cell r="U14" t="str">
            <v xml:space="preserve">Industrial </v>
          </cell>
          <cell r="W14">
            <v>74721</v>
          </cell>
          <cell r="X14">
            <v>4734</v>
          </cell>
          <cell r="Y14">
            <v>4152</v>
          </cell>
          <cell r="Z14">
            <v>4719</v>
          </cell>
          <cell r="AA14">
            <v>7199</v>
          </cell>
          <cell r="AB14">
            <v>6913</v>
          </cell>
          <cell r="AC14">
            <v>7749</v>
          </cell>
          <cell r="AD14">
            <v>5988</v>
          </cell>
          <cell r="AE14">
            <v>5822</v>
          </cell>
          <cell r="AF14">
            <v>8904</v>
          </cell>
          <cell r="AG14">
            <v>6577</v>
          </cell>
          <cell r="AH14">
            <v>5520</v>
          </cell>
          <cell r="AI14">
            <v>6444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739497</v>
          </cell>
          <cell r="E16">
            <v>75843</v>
          </cell>
          <cell r="F16">
            <v>91584</v>
          </cell>
          <cell r="G16">
            <v>78114</v>
          </cell>
          <cell r="H16">
            <v>60974</v>
          </cell>
          <cell r="I16">
            <v>52311</v>
          </cell>
          <cell r="J16">
            <v>48596</v>
          </cell>
          <cell r="K16">
            <v>51042</v>
          </cell>
          <cell r="L16">
            <v>50421</v>
          </cell>
          <cell r="M16">
            <v>54619</v>
          </cell>
          <cell r="N16">
            <v>50869</v>
          </cell>
          <cell r="O16">
            <v>47499</v>
          </cell>
          <cell r="P16">
            <v>77625</v>
          </cell>
          <cell r="T16">
            <v>13</v>
          </cell>
          <cell r="U16" t="str">
            <v>Total Deliveries</v>
          </cell>
          <cell r="V16"/>
          <cell r="W16">
            <v>791792</v>
          </cell>
          <cell r="X16">
            <v>97778</v>
          </cell>
          <cell r="Y16">
            <v>114613</v>
          </cell>
          <cell r="Z16">
            <v>112087</v>
          </cell>
          <cell r="AA16">
            <v>69569</v>
          </cell>
          <cell r="AB16">
            <v>48121</v>
          </cell>
          <cell r="AC16">
            <v>46769</v>
          </cell>
          <cell r="AD16">
            <v>51545</v>
          </cell>
          <cell r="AE16">
            <v>56483</v>
          </cell>
          <cell r="AF16">
            <v>53527</v>
          </cell>
          <cell r="AG16">
            <v>45042</v>
          </cell>
          <cell r="AH16">
            <v>42314</v>
          </cell>
          <cell r="AI16">
            <v>53944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235674</v>
          </cell>
          <cell r="E21">
            <v>36002</v>
          </cell>
          <cell r="F21">
            <v>48456</v>
          </cell>
          <cell r="G21">
            <v>35110</v>
          </cell>
          <cell r="H21">
            <v>21977</v>
          </cell>
          <cell r="I21">
            <v>13924</v>
          </cell>
          <cell r="J21">
            <v>7702</v>
          </cell>
          <cell r="K21">
            <v>6762</v>
          </cell>
          <cell r="L21">
            <v>5866</v>
          </cell>
          <cell r="M21">
            <v>5506</v>
          </cell>
          <cell r="N21">
            <v>6320</v>
          </cell>
          <cell r="O21">
            <v>14331</v>
          </cell>
          <cell r="P21">
            <v>33718</v>
          </cell>
          <cell r="T21">
            <v>18</v>
          </cell>
          <cell r="U21" t="str">
            <v>Residential</v>
          </cell>
          <cell r="W21">
            <v>286059</v>
          </cell>
          <cell r="X21">
            <v>53884</v>
          </cell>
          <cell r="Y21">
            <v>68587</v>
          </cell>
          <cell r="Z21">
            <v>60418</v>
          </cell>
          <cell r="AA21">
            <v>27577</v>
          </cell>
          <cell r="AB21">
            <v>11540</v>
          </cell>
          <cell r="AC21">
            <v>6741</v>
          </cell>
          <cell r="AD21">
            <v>6146</v>
          </cell>
          <cell r="AE21">
            <v>6432</v>
          </cell>
          <cell r="AF21">
            <v>5799</v>
          </cell>
          <cell r="AG21">
            <v>7100</v>
          </cell>
          <cell r="AH21">
            <v>11822</v>
          </cell>
          <cell r="AI21">
            <v>20013</v>
          </cell>
        </row>
        <row r="22">
          <cell r="A22">
            <v>19</v>
          </cell>
          <cell r="B22" t="str">
            <v>Commercial</v>
          </cell>
          <cell r="D22">
            <v>442924</v>
          </cell>
          <cell r="E22">
            <v>36017</v>
          </cell>
          <cell r="F22">
            <v>42529</v>
          </cell>
          <cell r="G22">
            <v>42963</v>
          </cell>
          <cell r="H22">
            <v>36287</v>
          </cell>
          <cell r="I22">
            <v>31961</v>
          </cell>
          <cell r="J22">
            <v>34188</v>
          </cell>
          <cell r="K22">
            <v>41377</v>
          </cell>
          <cell r="L22">
            <v>41741</v>
          </cell>
          <cell r="M22">
            <v>41260</v>
          </cell>
          <cell r="N22">
            <v>35673</v>
          </cell>
          <cell r="O22">
            <v>30146</v>
          </cell>
          <cell r="P22">
            <v>28782</v>
          </cell>
          <cell r="T22">
            <v>19</v>
          </cell>
          <cell r="U22" t="str">
            <v>Commercial</v>
          </cell>
          <cell r="W22">
            <v>474141</v>
          </cell>
          <cell r="X22">
            <v>44915</v>
          </cell>
          <cell r="Y22">
            <v>48988</v>
          </cell>
          <cell r="Z22">
            <v>53775</v>
          </cell>
          <cell r="AA22">
            <v>38438</v>
          </cell>
          <cell r="AB22">
            <v>32095</v>
          </cell>
          <cell r="AC22">
            <v>34739</v>
          </cell>
          <cell r="AD22">
            <v>42070</v>
          </cell>
          <cell r="AE22">
            <v>47094</v>
          </cell>
          <cell r="AF22">
            <v>41282</v>
          </cell>
          <cell r="AG22">
            <v>33655</v>
          </cell>
          <cell r="AH22">
            <v>26978</v>
          </cell>
          <cell r="AI22">
            <v>30112</v>
          </cell>
        </row>
        <row r="23">
          <cell r="A23">
            <v>20</v>
          </cell>
          <cell r="B23" t="str">
            <v xml:space="preserve">Industrial </v>
          </cell>
          <cell r="D23">
            <v>101398</v>
          </cell>
          <cell r="E23">
            <v>8344</v>
          </cell>
          <cell r="F23">
            <v>5840</v>
          </cell>
          <cell r="G23">
            <v>4263</v>
          </cell>
          <cell r="H23">
            <v>6120</v>
          </cell>
          <cell r="I23">
            <v>9107</v>
          </cell>
          <cell r="J23">
            <v>9236</v>
          </cell>
          <cell r="K23">
            <v>5795</v>
          </cell>
          <cell r="L23">
            <v>5617</v>
          </cell>
          <cell r="M23">
            <v>10814</v>
          </cell>
          <cell r="N23">
            <v>11554</v>
          </cell>
          <cell r="O23">
            <v>5504</v>
          </cell>
          <cell r="P23">
            <v>19204</v>
          </cell>
          <cell r="T23">
            <v>20</v>
          </cell>
          <cell r="U23" t="str">
            <v xml:space="preserve">Industrial </v>
          </cell>
          <cell r="W23">
            <v>79114</v>
          </cell>
          <cell r="X23">
            <v>5027</v>
          </cell>
          <cell r="Y23">
            <v>4419</v>
          </cell>
          <cell r="Z23">
            <v>5019</v>
          </cell>
          <cell r="AA23">
            <v>7620</v>
          </cell>
          <cell r="AB23">
            <v>7320</v>
          </cell>
          <cell r="AC23">
            <v>8237</v>
          </cell>
          <cell r="AD23">
            <v>6337</v>
          </cell>
          <cell r="AE23">
            <v>6151</v>
          </cell>
          <cell r="AF23">
            <v>9394</v>
          </cell>
          <cell r="AG23">
            <v>6969</v>
          </cell>
          <cell r="AH23">
            <v>5821</v>
          </cell>
          <cell r="AI23">
            <v>6800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779996</v>
          </cell>
          <cell r="E25">
            <v>80363</v>
          </cell>
          <cell r="F25">
            <v>96825</v>
          </cell>
          <cell r="G25">
            <v>82336</v>
          </cell>
          <cell r="H25">
            <v>64384</v>
          </cell>
          <cell r="I25">
            <v>54992</v>
          </cell>
          <cell r="J25">
            <v>51126</v>
          </cell>
          <cell r="K25">
            <v>53934</v>
          </cell>
          <cell r="L25">
            <v>53224</v>
          </cell>
          <cell r="M25">
            <v>57580</v>
          </cell>
          <cell r="N25">
            <v>53547</v>
          </cell>
          <cell r="O25">
            <v>49981</v>
          </cell>
          <cell r="P25">
            <v>81704</v>
          </cell>
          <cell r="T25">
            <v>22</v>
          </cell>
          <cell r="U25" t="str">
            <v>Total Deliveries</v>
          </cell>
          <cell r="V25"/>
          <cell r="W25">
            <v>839314</v>
          </cell>
          <cell r="X25">
            <v>103826</v>
          </cell>
          <cell r="Y25">
            <v>121994</v>
          </cell>
          <cell r="Z25">
            <v>119212</v>
          </cell>
          <cell r="AA25">
            <v>73635</v>
          </cell>
          <cell r="AB25">
            <v>50955</v>
          </cell>
          <cell r="AC25">
            <v>49717</v>
          </cell>
          <cell r="AD25">
            <v>54553</v>
          </cell>
          <cell r="AE25">
            <v>59677</v>
          </cell>
          <cell r="AF25">
            <v>56475</v>
          </cell>
          <cell r="AG25">
            <v>47724</v>
          </cell>
          <cell r="AH25">
            <v>44621</v>
          </cell>
          <cell r="AI25">
            <v>56925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10672</v>
          </cell>
          <cell r="F28">
            <v>10654</v>
          </cell>
          <cell r="G28">
            <v>10685</v>
          </cell>
          <cell r="H28">
            <v>10668</v>
          </cell>
          <cell r="I28">
            <v>10703</v>
          </cell>
          <cell r="J28">
            <v>10717</v>
          </cell>
          <cell r="K28">
            <v>10703</v>
          </cell>
          <cell r="L28">
            <v>10718</v>
          </cell>
          <cell r="M28">
            <v>10713</v>
          </cell>
          <cell r="N28">
            <v>10699</v>
          </cell>
          <cell r="O28">
            <v>10668</v>
          </cell>
          <cell r="P28">
            <v>10684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96181</v>
          </cell>
          <cell r="F29">
            <v>109116</v>
          </cell>
          <cell r="G29">
            <v>98721</v>
          </cell>
          <cell r="H29">
            <v>71868</v>
          </cell>
          <cell r="I29">
            <v>53490</v>
          </cell>
          <cell r="J29">
            <v>51036</v>
          </cell>
          <cell r="K29">
            <v>47987</v>
          </cell>
          <cell r="L29">
            <v>55987</v>
          </cell>
          <cell r="M29">
            <v>56244</v>
          </cell>
          <cell r="N29">
            <v>55575</v>
          </cell>
          <cell r="O29">
            <v>57783</v>
          </cell>
          <cell r="P29">
            <v>76768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99547.334999999992</v>
          </cell>
          <cell r="F30">
            <v>112935.06</v>
          </cell>
          <cell r="G30">
            <v>102176.23499999999</v>
          </cell>
          <cell r="H30">
            <v>74383.37999999999</v>
          </cell>
          <cell r="I30">
            <v>55362.149999999994</v>
          </cell>
          <cell r="J30">
            <v>52822.259999999995</v>
          </cell>
          <cell r="K30">
            <v>49666.544999999998</v>
          </cell>
          <cell r="L30">
            <v>57946.544999999998</v>
          </cell>
          <cell r="M30">
            <v>58212.539999999994</v>
          </cell>
          <cell r="N30">
            <v>57520.124999999993</v>
          </cell>
          <cell r="O30">
            <v>59805.404999999999</v>
          </cell>
          <cell r="P30">
            <v>79454.87999999999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9586</v>
          </cell>
          <cell r="F34">
            <v>9584</v>
          </cell>
          <cell r="G34">
            <v>9579</v>
          </cell>
          <cell r="H34">
            <v>9569</v>
          </cell>
          <cell r="I34">
            <v>9560</v>
          </cell>
          <cell r="J34">
            <v>9554</v>
          </cell>
          <cell r="K34">
            <v>9550</v>
          </cell>
          <cell r="L34">
            <v>9545</v>
          </cell>
          <cell r="M34">
            <v>9538</v>
          </cell>
          <cell r="N34">
            <v>9534</v>
          </cell>
          <cell r="O34">
            <v>9533</v>
          </cell>
          <cell r="P34">
            <v>9535</v>
          </cell>
          <cell r="T34">
            <v>31</v>
          </cell>
          <cell r="U34" t="str">
            <v>Residential</v>
          </cell>
          <cell r="V34"/>
          <cell r="W34"/>
          <cell r="X34">
            <v>9803</v>
          </cell>
          <cell r="Y34">
            <v>9788</v>
          </cell>
          <cell r="Z34">
            <v>9780</v>
          </cell>
          <cell r="AA34">
            <v>9759</v>
          </cell>
          <cell r="AB34">
            <v>9738</v>
          </cell>
          <cell r="AC34">
            <v>9719</v>
          </cell>
          <cell r="AD34">
            <v>9701</v>
          </cell>
          <cell r="AE34">
            <v>9687</v>
          </cell>
          <cell r="AF34">
            <v>9674</v>
          </cell>
          <cell r="AG34">
            <v>9664</v>
          </cell>
          <cell r="AH34">
            <v>9655</v>
          </cell>
          <cell r="AI34">
            <v>9649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1038</v>
          </cell>
          <cell r="F35">
            <v>1039</v>
          </cell>
          <cell r="G35">
            <v>1038</v>
          </cell>
          <cell r="H35">
            <v>1041</v>
          </cell>
          <cell r="I35">
            <v>1046</v>
          </cell>
          <cell r="J35">
            <v>1053</v>
          </cell>
          <cell r="K35">
            <v>1057</v>
          </cell>
          <cell r="L35">
            <v>1061</v>
          </cell>
          <cell r="M35">
            <v>1065</v>
          </cell>
          <cell r="N35">
            <v>1066</v>
          </cell>
          <cell r="O35">
            <v>1065</v>
          </cell>
          <cell r="P35">
            <v>1062</v>
          </cell>
          <cell r="T35">
            <v>32</v>
          </cell>
          <cell r="U35" t="str">
            <v>Commercial</v>
          </cell>
          <cell r="V35"/>
          <cell r="W35"/>
          <cell r="X35">
            <v>1056</v>
          </cell>
          <cell r="Y35">
            <v>1054</v>
          </cell>
          <cell r="Z35">
            <v>1052</v>
          </cell>
          <cell r="AA35">
            <v>1052</v>
          </cell>
          <cell r="AB35">
            <v>1058</v>
          </cell>
          <cell r="AC35">
            <v>1063</v>
          </cell>
          <cell r="AD35">
            <v>1068</v>
          </cell>
          <cell r="AE35">
            <v>1071</v>
          </cell>
          <cell r="AF35">
            <v>1074</v>
          </cell>
          <cell r="AG35">
            <v>1074</v>
          </cell>
          <cell r="AH35">
            <v>1072</v>
          </cell>
          <cell r="AI35">
            <v>1069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</v>
          </cell>
          <cell r="F36">
            <v>4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5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4</v>
          </cell>
          <cell r="AI36">
            <v>4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10628</v>
          </cell>
          <cell r="F38">
            <v>10627</v>
          </cell>
          <cell r="G38">
            <v>10621</v>
          </cell>
          <cell r="H38">
            <v>10614</v>
          </cell>
          <cell r="I38">
            <v>10610</v>
          </cell>
          <cell r="J38">
            <v>10611</v>
          </cell>
          <cell r="K38">
            <v>10611</v>
          </cell>
          <cell r="L38">
            <v>10610</v>
          </cell>
          <cell r="M38">
            <v>10607</v>
          </cell>
          <cell r="N38">
            <v>10604</v>
          </cell>
          <cell r="O38">
            <v>10602</v>
          </cell>
          <cell r="P38">
            <v>10602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10863</v>
          </cell>
          <cell r="Y38">
            <v>10846</v>
          </cell>
          <cell r="Z38">
            <v>10836</v>
          </cell>
          <cell r="AA38">
            <v>10815</v>
          </cell>
          <cell r="AB38">
            <v>10800</v>
          </cell>
          <cell r="AC38">
            <v>10786</v>
          </cell>
          <cell r="AD38">
            <v>10773</v>
          </cell>
          <cell r="AE38">
            <v>10762</v>
          </cell>
          <cell r="AF38">
            <v>10752</v>
          </cell>
          <cell r="AG38">
            <v>10742</v>
          </cell>
          <cell r="AH38">
            <v>10731</v>
          </cell>
          <cell r="AI38">
            <v>10722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33977</v>
          </cell>
          <cell r="F41">
            <v>79810</v>
          </cell>
          <cell r="G41">
            <v>113120</v>
          </cell>
          <cell r="H41">
            <v>133933</v>
          </cell>
          <cell r="I41">
            <v>147178</v>
          </cell>
          <cell r="J41">
            <v>154499</v>
          </cell>
          <cell r="K41">
            <v>160898</v>
          </cell>
          <cell r="L41">
            <v>166455</v>
          </cell>
          <cell r="M41">
            <v>171678</v>
          </cell>
          <cell r="N41">
            <v>177682</v>
          </cell>
          <cell r="O41">
            <v>191301</v>
          </cell>
          <cell r="P41">
            <v>223336</v>
          </cell>
          <cell r="T41">
            <v>38</v>
          </cell>
          <cell r="U41" t="str">
            <v>Residential</v>
          </cell>
          <cell r="W41"/>
          <cell r="X41">
            <v>50745</v>
          </cell>
          <cell r="Y41">
            <v>115182</v>
          </cell>
          <cell r="Z41">
            <v>171989</v>
          </cell>
          <cell r="AA41">
            <v>198043</v>
          </cell>
          <cell r="AB41">
            <v>208941</v>
          </cell>
          <cell r="AC41">
            <v>215282</v>
          </cell>
          <cell r="AD41">
            <v>221089</v>
          </cell>
          <cell r="AE41">
            <v>227177</v>
          </cell>
          <cell r="AF41">
            <v>232673</v>
          </cell>
          <cell r="AG41">
            <v>239374</v>
          </cell>
          <cell r="AH41">
            <v>250585</v>
          </cell>
          <cell r="AI41">
            <v>269550</v>
          </cell>
        </row>
        <row r="42">
          <cell r="A42">
            <v>39</v>
          </cell>
          <cell r="B42" t="str">
            <v>Commercial</v>
          </cell>
          <cell r="D42"/>
          <cell r="E42">
            <v>33991</v>
          </cell>
          <cell r="F42">
            <v>74218</v>
          </cell>
          <cell r="G42">
            <v>114978</v>
          </cell>
          <cell r="H42">
            <v>149343</v>
          </cell>
          <cell r="I42">
            <v>179746</v>
          </cell>
          <cell r="J42">
            <v>212242</v>
          </cell>
          <cell r="K42">
            <v>251401</v>
          </cell>
          <cell r="L42">
            <v>290944</v>
          </cell>
          <cell r="M42">
            <v>330082</v>
          </cell>
          <cell r="N42">
            <v>363971</v>
          </cell>
          <cell r="O42">
            <v>392620</v>
          </cell>
          <cell r="P42">
            <v>419965</v>
          </cell>
          <cell r="T42">
            <v>39</v>
          </cell>
          <cell r="U42" t="str">
            <v>Commercial</v>
          </cell>
          <cell r="W42"/>
          <cell r="X42">
            <v>42299</v>
          </cell>
          <cell r="Y42">
            <v>88323</v>
          </cell>
          <cell r="Z42">
            <v>138884</v>
          </cell>
          <cell r="AA42">
            <v>175200</v>
          </cell>
          <cell r="AB42">
            <v>205510</v>
          </cell>
          <cell r="AC42">
            <v>238189</v>
          </cell>
          <cell r="AD42">
            <v>277939</v>
          </cell>
          <cell r="AE42">
            <v>322512</v>
          </cell>
          <cell r="AF42">
            <v>361639</v>
          </cell>
          <cell r="AG42">
            <v>393403</v>
          </cell>
          <cell r="AH42">
            <v>418986</v>
          </cell>
          <cell r="AI42">
            <v>447521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7875</v>
          </cell>
          <cell r="F43">
            <v>13399</v>
          </cell>
          <cell r="G43">
            <v>17443</v>
          </cell>
          <cell r="H43">
            <v>23239</v>
          </cell>
          <cell r="I43">
            <v>31902</v>
          </cell>
          <cell r="J43">
            <v>40681</v>
          </cell>
          <cell r="K43">
            <v>46165</v>
          </cell>
          <cell r="L43">
            <v>51486</v>
          </cell>
          <cell r="M43">
            <v>61744</v>
          </cell>
          <cell r="N43">
            <v>72720</v>
          </cell>
          <cell r="O43">
            <v>77951</v>
          </cell>
          <cell r="P43">
            <v>96196</v>
          </cell>
          <cell r="T43">
            <v>40</v>
          </cell>
          <cell r="U43" t="str">
            <v xml:space="preserve">Industrial </v>
          </cell>
          <cell r="W43"/>
          <cell r="X43">
            <v>4734</v>
          </cell>
          <cell r="Y43">
            <v>8886</v>
          </cell>
          <cell r="Z43">
            <v>13605</v>
          </cell>
          <cell r="AA43">
            <v>20804</v>
          </cell>
          <cell r="AB43">
            <v>27717</v>
          </cell>
          <cell r="AC43">
            <v>35466</v>
          </cell>
          <cell r="AD43">
            <v>41454</v>
          </cell>
          <cell r="AE43">
            <v>47276</v>
          </cell>
          <cell r="AF43">
            <v>56180</v>
          </cell>
          <cell r="AG43">
            <v>62757</v>
          </cell>
          <cell r="AH43">
            <v>68277</v>
          </cell>
          <cell r="AI43">
            <v>74721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75843</v>
          </cell>
          <cell r="F45">
            <v>167427</v>
          </cell>
          <cell r="G45">
            <v>245541</v>
          </cell>
          <cell r="H45">
            <v>306515</v>
          </cell>
          <cell r="I45">
            <v>358826</v>
          </cell>
          <cell r="J45">
            <v>407422</v>
          </cell>
          <cell r="K45">
            <v>458464</v>
          </cell>
          <cell r="L45">
            <v>508885</v>
          </cell>
          <cell r="M45">
            <v>563504</v>
          </cell>
          <cell r="N45">
            <v>614373</v>
          </cell>
          <cell r="O45">
            <v>661872</v>
          </cell>
          <cell r="P45">
            <v>739497</v>
          </cell>
          <cell r="T45">
            <v>42</v>
          </cell>
          <cell r="U45" t="str">
            <v>Total Volume</v>
          </cell>
          <cell r="V45"/>
          <cell r="W45"/>
          <cell r="X45">
            <v>97778</v>
          </cell>
          <cell r="Y45">
            <v>212391</v>
          </cell>
          <cell r="Z45">
            <v>324478</v>
          </cell>
          <cell r="AA45">
            <v>394047</v>
          </cell>
          <cell r="AB45">
            <v>442168</v>
          </cell>
          <cell r="AC45">
            <v>488937</v>
          </cell>
          <cell r="AD45">
            <v>540482</v>
          </cell>
          <cell r="AE45">
            <v>596965</v>
          </cell>
          <cell r="AF45">
            <v>650492</v>
          </cell>
          <cell r="AG45">
            <v>695534</v>
          </cell>
          <cell r="AH45">
            <v>737848</v>
          </cell>
          <cell r="AI45">
            <v>791792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36002</v>
          </cell>
          <cell r="F48">
            <v>84458</v>
          </cell>
          <cell r="G48">
            <v>119568</v>
          </cell>
          <cell r="H48">
            <v>141545</v>
          </cell>
          <cell r="I48">
            <v>155469</v>
          </cell>
          <cell r="J48">
            <v>163171</v>
          </cell>
          <cell r="K48">
            <v>169933</v>
          </cell>
          <cell r="L48">
            <v>175799</v>
          </cell>
          <cell r="M48">
            <v>181305</v>
          </cell>
          <cell r="N48">
            <v>187625</v>
          </cell>
          <cell r="O48">
            <v>201956</v>
          </cell>
          <cell r="P48">
            <v>235674</v>
          </cell>
          <cell r="T48">
            <v>45</v>
          </cell>
          <cell r="U48" t="str">
            <v>Residential</v>
          </cell>
          <cell r="W48"/>
          <cell r="X48">
            <v>53884</v>
          </cell>
          <cell r="Y48">
            <v>122471</v>
          </cell>
          <cell r="Z48">
            <v>182889</v>
          </cell>
          <cell r="AA48">
            <v>210466</v>
          </cell>
          <cell r="AB48">
            <v>222006</v>
          </cell>
          <cell r="AC48">
            <v>228747</v>
          </cell>
          <cell r="AD48">
            <v>234893</v>
          </cell>
          <cell r="AE48">
            <v>241325</v>
          </cell>
          <cell r="AF48">
            <v>247124</v>
          </cell>
          <cell r="AG48">
            <v>254224</v>
          </cell>
          <cell r="AH48">
            <v>266046</v>
          </cell>
          <cell r="AI48">
            <v>286059</v>
          </cell>
        </row>
        <row r="49">
          <cell r="A49">
            <v>46</v>
          </cell>
          <cell r="B49" t="str">
            <v>Commercial</v>
          </cell>
          <cell r="D49"/>
          <cell r="E49">
            <v>36017</v>
          </cell>
          <cell r="F49">
            <v>78546</v>
          </cell>
          <cell r="G49">
            <v>121509</v>
          </cell>
          <cell r="H49">
            <v>157796</v>
          </cell>
          <cell r="I49">
            <v>189757</v>
          </cell>
          <cell r="J49">
            <v>223945</v>
          </cell>
          <cell r="K49">
            <v>265322</v>
          </cell>
          <cell r="L49">
            <v>307063</v>
          </cell>
          <cell r="M49">
            <v>348323</v>
          </cell>
          <cell r="N49">
            <v>383996</v>
          </cell>
          <cell r="O49">
            <v>414142</v>
          </cell>
          <cell r="P49">
            <v>442924</v>
          </cell>
          <cell r="T49">
            <v>46</v>
          </cell>
          <cell r="U49" t="str">
            <v>Commercial</v>
          </cell>
          <cell r="W49"/>
          <cell r="X49">
            <v>44915</v>
          </cell>
          <cell r="Y49">
            <v>93903</v>
          </cell>
          <cell r="Z49">
            <v>147678</v>
          </cell>
          <cell r="AA49">
            <v>186116</v>
          </cell>
          <cell r="AB49">
            <v>218211</v>
          </cell>
          <cell r="AC49">
            <v>252950</v>
          </cell>
          <cell r="AD49">
            <v>295020</v>
          </cell>
          <cell r="AE49">
            <v>342114</v>
          </cell>
          <cell r="AF49">
            <v>383396</v>
          </cell>
          <cell r="AG49">
            <v>417051</v>
          </cell>
          <cell r="AH49">
            <v>444029</v>
          </cell>
          <cell r="AI49">
            <v>474141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8344</v>
          </cell>
          <cell r="F50">
            <v>14184</v>
          </cell>
          <cell r="G50">
            <v>18447</v>
          </cell>
          <cell r="H50">
            <v>24567</v>
          </cell>
          <cell r="I50">
            <v>33674</v>
          </cell>
          <cell r="J50">
            <v>42910</v>
          </cell>
          <cell r="K50">
            <v>48705</v>
          </cell>
          <cell r="L50">
            <v>54322</v>
          </cell>
          <cell r="M50">
            <v>65136</v>
          </cell>
          <cell r="N50">
            <v>76690</v>
          </cell>
          <cell r="O50">
            <v>82194</v>
          </cell>
          <cell r="P50">
            <v>101398</v>
          </cell>
          <cell r="T50">
            <v>47</v>
          </cell>
          <cell r="U50" t="str">
            <v xml:space="preserve">Industrial </v>
          </cell>
          <cell r="W50"/>
          <cell r="X50">
            <v>5027</v>
          </cell>
          <cell r="Y50">
            <v>9446</v>
          </cell>
          <cell r="Z50">
            <v>14465</v>
          </cell>
          <cell r="AA50">
            <v>22085</v>
          </cell>
          <cell r="AB50">
            <v>29405</v>
          </cell>
          <cell r="AC50">
            <v>37642</v>
          </cell>
          <cell r="AD50">
            <v>43979</v>
          </cell>
          <cell r="AE50">
            <v>50130</v>
          </cell>
          <cell r="AF50">
            <v>59524</v>
          </cell>
          <cell r="AG50">
            <v>66493</v>
          </cell>
          <cell r="AH50">
            <v>72314</v>
          </cell>
          <cell r="AI50">
            <v>79114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80363</v>
          </cell>
          <cell r="F52">
            <v>177188</v>
          </cell>
          <cell r="G52">
            <v>259524</v>
          </cell>
          <cell r="H52">
            <v>323908</v>
          </cell>
          <cell r="I52">
            <v>378900</v>
          </cell>
          <cell r="J52">
            <v>430026</v>
          </cell>
          <cell r="K52">
            <v>483960</v>
          </cell>
          <cell r="L52">
            <v>537184</v>
          </cell>
          <cell r="M52">
            <v>594764</v>
          </cell>
          <cell r="N52">
            <v>648311</v>
          </cell>
          <cell r="O52">
            <v>698292</v>
          </cell>
          <cell r="P52">
            <v>779996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103826</v>
          </cell>
          <cell r="Y52">
            <v>225820</v>
          </cell>
          <cell r="Z52">
            <v>345032</v>
          </cell>
          <cell r="AA52">
            <v>418667</v>
          </cell>
          <cell r="AB52">
            <v>469622</v>
          </cell>
          <cell r="AC52">
            <v>519339</v>
          </cell>
          <cell r="AD52">
            <v>573892</v>
          </cell>
          <cell r="AE52">
            <v>633569</v>
          </cell>
          <cell r="AF52">
            <v>690044</v>
          </cell>
          <cell r="AG52">
            <v>737768</v>
          </cell>
          <cell r="AH52">
            <v>782389</v>
          </cell>
          <cell r="AI52">
            <v>839314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10672</v>
          </cell>
          <cell r="F55">
            <v>10663</v>
          </cell>
          <cell r="G55">
            <v>10670</v>
          </cell>
          <cell r="H55">
            <v>10670</v>
          </cell>
          <cell r="I55">
            <v>10676</v>
          </cell>
          <cell r="J55">
            <v>10683</v>
          </cell>
          <cell r="K55">
            <v>10686</v>
          </cell>
          <cell r="L55">
            <v>10690</v>
          </cell>
          <cell r="M55">
            <v>10693</v>
          </cell>
          <cell r="N55">
            <v>10693</v>
          </cell>
          <cell r="O55">
            <v>10691</v>
          </cell>
          <cell r="P55">
            <v>10690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96181</v>
          </cell>
          <cell r="F56">
            <v>205297</v>
          </cell>
          <cell r="G56">
            <v>304018</v>
          </cell>
          <cell r="H56">
            <v>375886</v>
          </cell>
          <cell r="I56">
            <v>429376</v>
          </cell>
          <cell r="J56">
            <v>480412</v>
          </cell>
          <cell r="K56">
            <v>528399</v>
          </cell>
          <cell r="L56">
            <v>584386</v>
          </cell>
          <cell r="M56">
            <v>640630</v>
          </cell>
          <cell r="N56">
            <v>696205</v>
          </cell>
          <cell r="O56">
            <v>753988</v>
          </cell>
          <cell r="P56">
            <v>830756</v>
          </cell>
        </row>
        <row r="57">
          <cell r="A57">
            <v>54</v>
          </cell>
          <cell r="B57" t="str">
            <v>Cumulative YTD Budget Volume (Dts) * 1.035</v>
          </cell>
          <cell r="E57">
            <v>99547.334999999992</v>
          </cell>
          <cell r="F57">
            <v>212482.39499999999</v>
          </cell>
          <cell r="G57">
            <v>314658.63</v>
          </cell>
          <cell r="H57">
            <v>389042.01</v>
          </cell>
          <cell r="I57">
            <v>444404.16000000003</v>
          </cell>
          <cell r="J57">
            <v>497226.42000000004</v>
          </cell>
          <cell r="K57">
            <v>546892.96500000008</v>
          </cell>
          <cell r="L57">
            <v>604839.51000000013</v>
          </cell>
          <cell r="M57">
            <v>663052.05000000016</v>
          </cell>
          <cell r="N57">
            <v>720572.17500000016</v>
          </cell>
          <cell r="O57">
            <v>780377.58000000019</v>
          </cell>
          <cell r="P57">
            <v>859832.4600000002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AEO"/>
      <sheetName val="PESCO"/>
      <sheetName val="FloridaPropane"/>
      <sheetName val="Utility stats YTD Q2 2016"/>
      <sheetName val="Utility stats Q2 2016"/>
      <sheetName val="Utility stats YTD Q1 2016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7">
          <cell r="B7" t="str">
            <v>For the Twelve Months ended December 31, 2017 and 2016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2017 and 2016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2017</v>
          </cell>
          <cell r="J14" t="str">
            <v>Actual customers for the Month of January 2016</v>
          </cell>
          <cell r="K14" t="str">
            <v>Average customers for the One Month ended January 31, 2017</v>
          </cell>
          <cell r="L14" t="str">
            <v>Average customers for the One Month ended January 31, 2016</v>
          </cell>
          <cell r="M14" t="str">
            <v>Volume for the Month of January 2017</v>
          </cell>
          <cell r="N14" t="str">
            <v>Volume for the Month of January 2016</v>
          </cell>
          <cell r="O14" t="str">
            <v>Volume for the One Month ended January 31, 2017</v>
          </cell>
          <cell r="P14" t="str">
            <v>Volume for the One Month ended January 31, 2016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2017 and 2016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2017</v>
          </cell>
          <cell r="J15" t="str">
            <v>Actual customers for the Month of February 2016</v>
          </cell>
          <cell r="K15" t="str">
            <v>Average customers for the Two Months ended February 28, 2017</v>
          </cell>
          <cell r="L15" t="str">
            <v>Average customers for the Two Months ended February 28, 2016</v>
          </cell>
          <cell r="M15" t="str">
            <v>Volume for the Month of February 2017</v>
          </cell>
          <cell r="N15" t="str">
            <v>Volume for the Month of February 2016</v>
          </cell>
          <cell r="O15" t="str">
            <v>Volume for the Two Months ended February 28, 2017</v>
          </cell>
          <cell r="P15" t="str">
            <v>Volume for the Two Months ended February 28, 2016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2017 and 2016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2017</v>
          </cell>
          <cell r="J16" t="str">
            <v>Actual customers for the Month of March 2016</v>
          </cell>
          <cell r="K16" t="str">
            <v>Average customers for the Three Months ended March 31, 2017</v>
          </cell>
          <cell r="L16" t="str">
            <v>Average customers for the Three Months ended March 31, 2016</v>
          </cell>
          <cell r="M16" t="str">
            <v>Volume for the Month of March 2017</v>
          </cell>
          <cell r="N16" t="str">
            <v>Volume for the Month of March 2016</v>
          </cell>
          <cell r="O16" t="str">
            <v>Volume for the Three Months ended March 31, 2017</v>
          </cell>
          <cell r="P16" t="str">
            <v>Volume for the Three Months ended March 31, 2016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2017 and 2016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2017</v>
          </cell>
          <cell r="J17" t="str">
            <v>Actual customers for the Month of April 2016</v>
          </cell>
          <cell r="K17" t="str">
            <v>Average customers for the Four Months ended April 30, 2017</v>
          </cell>
          <cell r="L17" t="str">
            <v>Average customers for the Four Months ended April 30, 2016</v>
          </cell>
          <cell r="M17" t="str">
            <v>Volume for the Month of April 2017</v>
          </cell>
          <cell r="N17" t="str">
            <v>Volume for the Month of April 2016</v>
          </cell>
          <cell r="O17" t="str">
            <v>Volume for the Four Months ended April 30, 2017</v>
          </cell>
          <cell r="P17" t="str">
            <v>Volume for the Four Months ended April 30, 2016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2017 and 2016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2017</v>
          </cell>
          <cell r="J18" t="str">
            <v>Actual customers for the Month of May 2016</v>
          </cell>
          <cell r="K18" t="str">
            <v>Average customers for the Five Months ended May 31, 2017</v>
          </cell>
          <cell r="L18" t="str">
            <v>Average customers for the Five Months ended May 31, 2016</v>
          </cell>
          <cell r="M18" t="str">
            <v>Volume for the Month of May 2017</v>
          </cell>
          <cell r="N18" t="str">
            <v>Volume for the Month of May 2016</v>
          </cell>
          <cell r="O18" t="str">
            <v>Volume for the Five Months ended May 31, 2017</v>
          </cell>
          <cell r="P18" t="str">
            <v>Volume for the Five Months ended May 31, 2016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2017 and 2016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2017</v>
          </cell>
          <cell r="J19" t="str">
            <v>Actual customers for the Month of June 2016</v>
          </cell>
          <cell r="K19" t="str">
            <v>Average customers for the Six Months ended June 30, 2017</v>
          </cell>
          <cell r="L19" t="str">
            <v>Average customers for the Six Months ended June 30, 2016</v>
          </cell>
          <cell r="M19" t="str">
            <v>Volume for the Month of June 2017</v>
          </cell>
          <cell r="N19" t="str">
            <v>Volume for the Month of June 2016</v>
          </cell>
          <cell r="O19" t="str">
            <v>Volume for the Six Months ended June 30, 2017</v>
          </cell>
          <cell r="P19" t="str">
            <v>Volume for the Six Months ended June 30, 2016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2017 and 2016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2017</v>
          </cell>
          <cell r="J20" t="str">
            <v>Actual customers for the Month of July 2016</v>
          </cell>
          <cell r="K20" t="str">
            <v>Average customers for the Seven Months ended July 31, 2017</v>
          </cell>
          <cell r="L20" t="str">
            <v>Average customers for the Seven Months ended July 31, 2016</v>
          </cell>
          <cell r="M20" t="str">
            <v>Volume for the Month of July 2017</v>
          </cell>
          <cell r="N20" t="str">
            <v>Volume for the Month of July 2016</v>
          </cell>
          <cell r="O20" t="str">
            <v>Volume for the Seven Months ended July 31, 2017</v>
          </cell>
          <cell r="P20" t="str">
            <v>Volume for the Seven Months ended July 31, 2016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2017 and 2016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2017</v>
          </cell>
          <cell r="J21" t="str">
            <v>Actual customers for the Month of August 2016</v>
          </cell>
          <cell r="K21" t="str">
            <v>Average customers for the Eight Months ended August 31, 2017</v>
          </cell>
          <cell r="L21" t="str">
            <v>Average customers for the Eight Months ended August 31, 2016</v>
          </cell>
          <cell r="M21" t="str">
            <v>Volume for the Month of August 2017</v>
          </cell>
          <cell r="N21" t="str">
            <v>Volume for the Month of August 2016</v>
          </cell>
          <cell r="O21" t="str">
            <v>Volume for the Eight Months ended August 31, 2017</v>
          </cell>
          <cell r="P21" t="str">
            <v>Volume for the Eight Months ended August 31, 2016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2017 and 2016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2017</v>
          </cell>
          <cell r="J22" t="str">
            <v>Actual customers for the Month of September 2016</v>
          </cell>
          <cell r="K22" t="str">
            <v>Average customers for the Nine Months ended September 30, 2017</v>
          </cell>
          <cell r="L22" t="str">
            <v>Average customers for the Nine Months ended September 30, 2016</v>
          </cell>
          <cell r="M22" t="str">
            <v>Volume for the Month of September 2017</v>
          </cell>
          <cell r="N22" t="str">
            <v>Volume for the Month of September 2016</v>
          </cell>
          <cell r="O22" t="str">
            <v>Volume for the Nine Months ended September 30, 2017</v>
          </cell>
          <cell r="P22" t="str">
            <v>Volume for the Nine Months ended September 30, 2016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2017 and 2016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2017</v>
          </cell>
          <cell r="J23" t="str">
            <v>Actual customers for the Month of October 2016</v>
          </cell>
          <cell r="K23" t="str">
            <v>Average customers for the Ten Months ended October 31, 2017</v>
          </cell>
          <cell r="L23" t="str">
            <v>Average customers for the Ten Months ended October 31, 2016</v>
          </cell>
          <cell r="M23" t="str">
            <v>Volume for the Month of October 2017</v>
          </cell>
          <cell r="N23" t="str">
            <v>Volume for the Month of October 2016</v>
          </cell>
          <cell r="O23" t="str">
            <v>Volume for the Ten Months ended October 31, 2017</v>
          </cell>
          <cell r="P23" t="str">
            <v>Volume for the Ten Months ended October 31, 2016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2017 and 2016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2017</v>
          </cell>
          <cell r="J24" t="str">
            <v>Actual customers for the Month of November 2016</v>
          </cell>
          <cell r="K24" t="str">
            <v>Average customers for the Eleven Months ended November 30, 2017</v>
          </cell>
          <cell r="L24" t="str">
            <v>Average customers for the Eleven Months ended November 30, 2016</v>
          </cell>
          <cell r="M24" t="str">
            <v>Volume for the Month of November 2017</v>
          </cell>
          <cell r="N24" t="str">
            <v>Volume for the Month of November 2016</v>
          </cell>
          <cell r="O24" t="str">
            <v>Volume for the Eleven Months ended November 30, 2017</v>
          </cell>
          <cell r="P24" t="str">
            <v>Volume for the Eleven Months ended November 30, 2016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2017 and 2016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2017</v>
          </cell>
          <cell r="J25" t="str">
            <v>Actual customers for the Month of December 2016</v>
          </cell>
          <cell r="K25" t="str">
            <v>Average customers for the Twelve Months ended December 31, 2017</v>
          </cell>
          <cell r="L25" t="str">
            <v>Average customers for the Twelve Months ended December 31, 2016</v>
          </cell>
          <cell r="M25" t="str">
            <v>Volume for the Month of December 2017</v>
          </cell>
          <cell r="N25" t="str">
            <v>Volume for the Month of December 2016</v>
          </cell>
          <cell r="O25" t="str">
            <v>Volume for the Twelve Months ended December 31, 2017</v>
          </cell>
          <cell r="P25" t="str">
            <v>Volume for the Twelve Months ended December 31, 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48170.666666666664</v>
          </cell>
          <cell r="E5">
            <v>47631</v>
          </cell>
          <cell r="F5">
            <v>47841</v>
          </cell>
          <cell r="G5">
            <v>48000</v>
          </cell>
          <cell r="H5">
            <v>48074</v>
          </cell>
          <cell r="I5">
            <v>47891</v>
          </cell>
          <cell r="J5">
            <v>47715</v>
          </cell>
          <cell r="K5">
            <v>47669</v>
          </cell>
          <cell r="L5">
            <v>47883</v>
          </cell>
          <cell r="M5">
            <v>48172</v>
          </cell>
          <cell r="N5">
            <v>48471</v>
          </cell>
          <cell r="O5">
            <v>48987</v>
          </cell>
          <cell r="P5">
            <v>49714</v>
          </cell>
          <cell r="T5">
            <v>2</v>
          </cell>
          <cell r="U5" t="str">
            <v>Residential</v>
          </cell>
          <cell r="V5">
            <v>45605</v>
          </cell>
          <cell r="W5">
            <v>547254</v>
          </cell>
          <cell r="X5">
            <v>44906</v>
          </cell>
          <cell r="Y5">
            <v>45269</v>
          </cell>
          <cell r="Z5">
            <v>45430</v>
          </cell>
          <cell r="AA5">
            <v>45572</v>
          </cell>
          <cell r="AB5">
            <v>45374</v>
          </cell>
          <cell r="AC5">
            <v>45272</v>
          </cell>
          <cell r="AD5">
            <v>45295</v>
          </cell>
          <cell r="AE5">
            <v>45354</v>
          </cell>
          <cell r="AF5">
            <v>45496</v>
          </cell>
          <cell r="AG5">
            <v>45780</v>
          </cell>
          <cell r="AH5">
            <v>46415</v>
          </cell>
          <cell r="AI5">
            <v>47091</v>
          </cell>
        </row>
        <row r="6">
          <cell r="A6">
            <v>3</v>
          </cell>
          <cell r="B6" t="str">
            <v>Commercial</v>
          </cell>
          <cell r="C6"/>
          <cell r="D6">
            <v>3940.5833333333335</v>
          </cell>
          <cell r="E6">
            <v>3994</v>
          </cell>
          <cell r="F6">
            <v>4002</v>
          </cell>
          <cell r="G6">
            <v>4007</v>
          </cell>
          <cell r="H6">
            <v>3979</v>
          </cell>
          <cell r="I6">
            <v>3923</v>
          </cell>
          <cell r="J6">
            <v>3900</v>
          </cell>
          <cell r="K6">
            <v>3881</v>
          </cell>
          <cell r="L6">
            <v>3882</v>
          </cell>
          <cell r="M6">
            <v>3882</v>
          </cell>
          <cell r="N6">
            <v>3874</v>
          </cell>
          <cell r="O6">
            <v>3941</v>
          </cell>
          <cell r="P6">
            <v>4022</v>
          </cell>
          <cell r="T6">
            <v>3</v>
          </cell>
          <cell r="U6" t="str">
            <v>Commercial</v>
          </cell>
          <cell r="V6">
            <v>3857</v>
          </cell>
          <cell r="W6">
            <v>46284</v>
          </cell>
          <cell r="X6">
            <v>3870</v>
          </cell>
          <cell r="Y6">
            <v>3919</v>
          </cell>
          <cell r="Z6">
            <v>3905</v>
          </cell>
          <cell r="AA6">
            <v>3883</v>
          </cell>
          <cell r="AB6">
            <v>3836</v>
          </cell>
          <cell r="AC6">
            <v>3828</v>
          </cell>
          <cell r="AD6">
            <v>3818</v>
          </cell>
          <cell r="AE6">
            <v>3810</v>
          </cell>
          <cell r="AF6">
            <v>3794</v>
          </cell>
          <cell r="AG6">
            <v>3804</v>
          </cell>
          <cell r="AH6">
            <v>3872</v>
          </cell>
          <cell r="AI6">
            <v>3945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88</v>
          </cell>
          <cell r="E7">
            <v>87</v>
          </cell>
          <cell r="F7">
            <v>87</v>
          </cell>
          <cell r="G7">
            <v>87</v>
          </cell>
          <cell r="H7">
            <v>88</v>
          </cell>
          <cell r="I7">
            <v>89</v>
          </cell>
          <cell r="J7">
            <v>85</v>
          </cell>
          <cell r="K7">
            <v>86</v>
          </cell>
          <cell r="L7">
            <v>86</v>
          </cell>
          <cell r="M7">
            <v>87</v>
          </cell>
          <cell r="N7">
            <v>91</v>
          </cell>
          <cell r="O7">
            <v>88</v>
          </cell>
          <cell r="P7">
            <v>95</v>
          </cell>
          <cell r="T7">
            <v>4</v>
          </cell>
          <cell r="U7" t="str">
            <v xml:space="preserve">Industrial </v>
          </cell>
          <cell r="V7">
            <v>81</v>
          </cell>
          <cell r="W7">
            <v>968</v>
          </cell>
          <cell r="X7">
            <v>80</v>
          </cell>
          <cell r="Y7">
            <v>80</v>
          </cell>
          <cell r="Z7">
            <v>80</v>
          </cell>
          <cell r="AA7">
            <v>79</v>
          </cell>
          <cell r="AB7">
            <v>79</v>
          </cell>
          <cell r="AC7">
            <v>78</v>
          </cell>
          <cell r="AD7">
            <v>80</v>
          </cell>
          <cell r="AE7">
            <v>80</v>
          </cell>
          <cell r="AF7">
            <v>80</v>
          </cell>
          <cell r="AG7">
            <v>81</v>
          </cell>
          <cell r="AH7">
            <v>85</v>
          </cell>
          <cell r="AI7">
            <v>86</v>
          </cell>
        </row>
        <row r="8">
          <cell r="A8">
            <v>5</v>
          </cell>
          <cell r="B8" t="str">
            <v>Other</v>
          </cell>
          <cell r="C8"/>
          <cell r="D8">
            <v>4.583333333333333</v>
          </cell>
          <cell r="E8">
            <v>5</v>
          </cell>
          <cell r="F8">
            <v>5</v>
          </cell>
          <cell r="G8">
            <v>5</v>
          </cell>
          <cell r="H8">
            <v>5</v>
          </cell>
          <cell r="I8">
            <v>7</v>
          </cell>
          <cell r="J8">
            <v>9</v>
          </cell>
          <cell r="K8">
            <v>5</v>
          </cell>
          <cell r="L8">
            <v>2</v>
          </cell>
          <cell r="M8">
            <v>2</v>
          </cell>
          <cell r="N8">
            <v>2</v>
          </cell>
          <cell r="O8">
            <v>2</v>
          </cell>
          <cell r="P8">
            <v>6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59</v>
          </cell>
          <cell r="X8">
            <v>3</v>
          </cell>
          <cell r="Y8">
            <v>3</v>
          </cell>
          <cell r="Z8">
            <v>6</v>
          </cell>
          <cell r="AA8">
            <v>4</v>
          </cell>
          <cell r="AB8">
            <v>5</v>
          </cell>
          <cell r="AC8">
            <v>4</v>
          </cell>
          <cell r="AD8">
            <v>5</v>
          </cell>
          <cell r="AE8">
            <v>5</v>
          </cell>
          <cell r="AF8">
            <v>7</v>
          </cell>
          <cell r="AG8">
            <v>8</v>
          </cell>
          <cell r="AH8">
            <v>4</v>
          </cell>
          <cell r="AI8">
            <v>5</v>
          </cell>
        </row>
        <row r="9">
          <cell r="A9">
            <v>6</v>
          </cell>
          <cell r="B9" t="str">
            <v>Total customers</v>
          </cell>
          <cell r="C9"/>
          <cell r="D9">
            <v>52203.833333333336</v>
          </cell>
          <cell r="E9">
            <v>51717</v>
          </cell>
          <cell r="F9">
            <v>51935</v>
          </cell>
          <cell r="G9">
            <v>52099</v>
          </cell>
          <cell r="H9">
            <v>52146</v>
          </cell>
          <cell r="I9">
            <v>51910</v>
          </cell>
          <cell r="J9">
            <v>51709</v>
          </cell>
          <cell r="K9">
            <v>51641</v>
          </cell>
          <cell r="L9">
            <v>51853</v>
          </cell>
          <cell r="M9">
            <v>52143</v>
          </cell>
          <cell r="N9">
            <v>52438</v>
          </cell>
          <cell r="O9">
            <v>53018</v>
          </cell>
          <cell r="P9">
            <v>53837</v>
          </cell>
          <cell r="T9">
            <v>6</v>
          </cell>
          <cell r="U9" t="str">
            <v>Total customers</v>
          </cell>
          <cell r="V9">
            <v>49548</v>
          </cell>
          <cell r="W9">
            <v>594565</v>
          </cell>
          <cell r="X9">
            <v>48859</v>
          </cell>
          <cell r="Y9">
            <v>49271</v>
          </cell>
          <cell r="Z9">
            <v>49421</v>
          </cell>
          <cell r="AA9">
            <v>49538</v>
          </cell>
          <cell r="AB9">
            <v>49294</v>
          </cell>
          <cell r="AC9">
            <v>49182</v>
          </cell>
          <cell r="AD9">
            <v>49198</v>
          </cell>
          <cell r="AE9">
            <v>49249</v>
          </cell>
          <cell r="AF9">
            <v>49377</v>
          </cell>
          <cell r="AG9">
            <v>49673</v>
          </cell>
          <cell r="AH9">
            <v>50376</v>
          </cell>
          <cell r="AI9">
            <v>51127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2512861</v>
          </cell>
          <cell r="E12">
            <v>532570</v>
          </cell>
          <cell r="F12">
            <v>432647</v>
          </cell>
          <cell r="G12">
            <v>390919</v>
          </cell>
          <cell r="H12">
            <v>267835</v>
          </cell>
          <cell r="I12">
            <v>99855</v>
          </cell>
          <cell r="J12">
            <v>64276</v>
          </cell>
          <cell r="K12">
            <v>45115</v>
          </cell>
          <cell r="L12">
            <v>42375</v>
          </cell>
          <cell r="M12">
            <v>45126</v>
          </cell>
          <cell r="N12">
            <v>50795</v>
          </cell>
          <cell r="O12">
            <v>163220</v>
          </cell>
          <cell r="P12">
            <v>378128</v>
          </cell>
          <cell r="T12">
            <v>9</v>
          </cell>
          <cell r="U12" t="str">
            <v>Residential</v>
          </cell>
          <cell r="W12">
            <v>2358386</v>
          </cell>
          <cell r="X12">
            <v>366424</v>
          </cell>
          <cell r="Y12">
            <v>514106</v>
          </cell>
          <cell r="Z12">
            <v>367283</v>
          </cell>
          <cell r="AA12">
            <v>242332</v>
          </cell>
          <cell r="AB12">
            <v>138295</v>
          </cell>
          <cell r="AC12">
            <v>66566</v>
          </cell>
          <cell r="AD12">
            <v>44868</v>
          </cell>
          <cell r="AE12">
            <v>37570</v>
          </cell>
          <cell r="AF12">
            <v>42463</v>
          </cell>
          <cell r="AG12">
            <v>50956</v>
          </cell>
          <cell r="AH12">
            <v>139571</v>
          </cell>
          <cell r="AI12">
            <v>347952</v>
          </cell>
        </row>
        <row r="13">
          <cell r="A13">
            <v>10</v>
          </cell>
          <cell r="B13" t="str">
            <v>Commercial</v>
          </cell>
          <cell r="D13">
            <v>2015952</v>
          </cell>
          <cell r="E13">
            <v>330553</v>
          </cell>
          <cell r="F13">
            <v>282389</v>
          </cell>
          <cell r="G13">
            <v>281338</v>
          </cell>
          <cell r="H13">
            <v>161810</v>
          </cell>
          <cell r="I13">
            <v>104997</v>
          </cell>
          <cell r="J13">
            <v>90433</v>
          </cell>
          <cell r="K13">
            <v>70404</v>
          </cell>
          <cell r="L13">
            <v>77275</v>
          </cell>
          <cell r="M13">
            <v>84650</v>
          </cell>
          <cell r="N13">
            <v>92212</v>
          </cell>
          <cell r="O13">
            <v>165759</v>
          </cell>
          <cell r="P13">
            <v>274132</v>
          </cell>
          <cell r="T13">
            <v>10</v>
          </cell>
          <cell r="U13" t="str">
            <v>Commercial</v>
          </cell>
          <cell r="W13">
            <v>2004885</v>
          </cell>
          <cell r="X13">
            <v>299165</v>
          </cell>
          <cell r="Y13">
            <v>333452</v>
          </cell>
          <cell r="Z13">
            <v>248328</v>
          </cell>
          <cell r="AA13">
            <v>167140</v>
          </cell>
          <cell r="AB13">
            <v>117328</v>
          </cell>
          <cell r="AC13">
            <v>89614</v>
          </cell>
          <cell r="AD13">
            <v>72369</v>
          </cell>
          <cell r="AE13">
            <v>72918</v>
          </cell>
          <cell r="AF13">
            <v>79628</v>
          </cell>
          <cell r="AG13">
            <v>96934</v>
          </cell>
          <cell r="AH13">
            <v>143986</v>
          </cell>
          <cell r="AI13">
            <v>284023</v>
          </cell>
        </row>
        <row r="14">
          <cell r="A14">
            <v>11</v>
          </cell>
          <cell r="B14" t="str">
            <v xml:space="preserve">Industrial </v>
          </cell>
          <cell r="D14">
            <v>2974686</v>
          </cell>
          <cell r="E14">
            <v>280946</v>
          </cell>
          <cell r="F14">
            <v>261329</v>
          </cell>
          <cell r="G14">
            <v>288554</v>
          </cell>
          <cell r="H14">
            <v>226739</v>
          </cell>
          <cell r="I14">
            <v>241469</v>
          </cell>
          <cell r="J14">
            <v>236804</v>
          </cell>
          <cell r="K14">
            <v>190691</v>
          </cell>
          <cell r="L14">
            <v>223615</v>
          </cell>
          <cell r="M14">
            <v>263389</v>
          </cell>
          <cell r="N14">
            <v>267396</v>
          </cell>
          <cell r="O14">
            <v>238073</v>
          </cell>
          <cell r="P14">
            <v>255681</v>
          </cell>
          <cell r="T14">
            <v>11</v>
          </cell>
          <cell r="U14" t="str">
            <v xml:space="preserve">Industrial </v>
          </cell>
          <cell r="W14">
            <v>3036274</v>
          </cell>
          <cell r="X14">
            <v>282310</v>
          </cell>
          <cell r="Y14">
            <v>285180</v>
          </cell>
          <cell r="Z14">
            <v>290010</v>
          </cell>
          <cell r="AA14">
            <v>242188</v>
          </cell>
          <cell r="AB14">
            <v>233434</v>
          </cell>
          <cell r="AC14">
            <v>234367</v>
          </cell>
          <cell r="AD14">
            <v>199754</v>
          </cell>
          <cell r="AE14">
            <v>219518</v>
          </cell>
          <cell r="AF14">
            <v>250465</v>
          </cell>
          <cell r="AG14">
            <v>267829</v>
          </cell>
          <cell r="AH14">
            <v>237748</v>
          </cell>
          <cell r="AI14">
            <v>293471</v>
          </cell>
        </row>
        <row r="15">
          <cell r="A15">
            <v>12</v>
          </cell>
          <cell r="B15" t="str">
            <v>Other</v>
          </cell>
          <cell r="D15">
            <v>91114</v>
          </cell>
          <cell r="E15">
            <v>3839</v>
          </cell>
          <cell r="F15">
            <v>2625</v>
          </cell>
          <cell r="G15">
            <v>3581</v>
          </cell>
          <cell r="H15">
            <v>3651</v>
          </cell>
          <cell r="I15">
            <v>5382</v>
          </cell>
          <cell r="J15">
            <v>10315</v>
          </cell>
          <cell r="K15">
            <v>11211</v>
          </cell>
          <cell r="L15">
            <v>14827</v>
          </cell>
          <cell r="M15">
            <v>7918</v>
          </cell>
          <cell r="N15">
            <v>12246</v>
          </cell>
          <cell r="O15">
            <v>9289</v>
          </cell>
          <cell r="P15">
            <v>6230</v>
          </cell>
          <cell r="T15">
            <v>12</v>
          </cell>
          <cell r="U15" t="str">
            <v xml:space="preserve">Interruptible </v>
          </cell>
          <cell r="W15">
            <v>88045</v>
          </cell>
          <cell r="X15">
            <v>3618</v>
          </cell>
          <cell r="Y15">
            <v>3637</v>
          </cell>
          <cell r="Z15">
            <v>5526</v>
          </cell>
          <cell r="AA15">
            <v>6261</v>
          </cell>
          <cell r="AB15">
            <v>8806</v>
          </cell>
          <cell r="AC15">
            <v>10183</v>
          </cell>
          <cell r="AD15">
            <v>9695</v>
          </cell>
          <cell r="AE15">
            <v>10655</v>
          </cell>
          <cell r="AF15">
            <v>6372</v>
          </cell>
          <cell r="AG15">
            <v>9271</v>
          </cell>
          <cell r="AH15">
            <v>7865</v>
          </cell>
          <cell r="AI15">
            <v>6156</v>
          </cell>
        </row>
        <row r="16">
          <cell r="A16">
            <v>13</v>
          </cell>
          <cell r="B16" t="str">
            <v>Total Volume</v>
          </cell>
          <cell r="D16">
            <v>7594613</v>
          </cell>
          <cell r="E16">
            <v>1147908</v>
          </cell>
          <cell r="F16">
            <v>978990</v>
          </cell>
          <cell r="G16">
            <v>964392</v>
          </cell>
          <cell r="H16">
            <v>660035</v>
          </cell>
          <cell r="I16">
            <v>451703</v>
          </cell>
          <cell r="J16">
            <v>401828</v>
          </cell>
          <cell r="K16">
            <v>317421</v>
          </cell>
          <cell r="L16">
            <v>358092</v>
          </cell>
          <cell r="M16">
            <v>401083</v>
          </cell>
          <cell r="N16">
            <v>422649</v>
          </cell>
          <cell r="O16">
            <v>576341</v>
          </cell>
          <cell r="P16">
            <v>914171</v>
          </cell>
          <cell r="T16">
            <v>13</v>
          </cell>
          <cell r="U16" t="str">
            <v>Total Deliveries</v>
          </cell>
          <cell r="V16"/>
          <cell r="W16">
            <v>7487590</v>
          </cell>
          <cell r="X16">
            <v>951517</v>
          </cell>
          <cell r="Y16">
            <v>1136375</v>
          </cell>
          <cell r="Z16">
            <v>911147</v>
          </cell>
          <cell r="AA16">
            <v>657921</v>
          </cell>
          <cell r="AB16">
            <v>497863</v>
          </cell>
          <cell r="AC16">
            <v>400730</v>
          </cell>
          <cell r="AD16">
            <v>326686</v>
          </cell>
          <cell r="AE16">
            <v>340661</v>
          </cell>
          <cell r="AF16">
            <v>378928</v>
          </cell>
          <cell r="AG16">
            <v>424990</v>
          </cell>
          <cell r="AH16">
            <v>529170</v>
          </cell>
          <cell r="AI16">
            <v>931602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2635109</v>
          </cell>
          <cell r="E21">
            <v>559342</v>
          </cell>
          <cell r="F21">
            <v>453808</v>
          </cell>
          <cell r="G21">
            <v>409718</v>
          </cell>
          <cell r="H21">
            <v>280131</v>
          </cell>
          <cell r="I21">
            <v>104305</v>
          </cell>
          <cell r="J21">
            <v>67140</v>
          </cell>
          <cell r="K21">
            <v>47291</v>
          </cell>
          <cell r="L21">
            <v>44234</v>
          </cell>
          <cell r="M21">
            <v>47246</v>
          </cell>
          <cell r="N21">
            <v>53291</v>
          </cell>
          <cell r="O21">
            <v>171277</v>
          </cell>
          <cell r="P21">
            <v>397326</v>
          </cell>
          <cell r="T21">
            <v>18</v>
          </cell>
          <cell r="U21" t="str">
            <v>Residential</v>
          </cell>
          <cell r="W21">
            <v>2488792</v>
          </cell>
          <cell r="X21">
            <v>388267</v>
          </cell>
          <cell r="Y21">
            <v>543523</v>
          </cell>
          <cell r="Z21">
            <v>387131</v>
          </cell>
          <cell r="AA21">
            <v>255888</v>
          </cell>
          <cell r="AB21">
            <v>145380</v>
          </cell>
          <cell r="AC21">
            <v>70033</v>
          </cell>
          <cell r="AD21">
            <v>47410</v>
          </cell>
          <cell r="AE21">
            <v>39659</v>
          </cell>
          <cell r="AF21">
            <v>44765</v>
          </cell>
          <cell r="AG21">
            <v>53638</v>
          </cell>
          <cell r="AH21">
            <v>146865</v>
          </cell>
          <cell r="AI21">
            <v>366233</v>
          </cell>
        </row>
        <row r="22">
          <cell r="A22">
            <v>19</v>
          </cell>
          <cell r="B22" t="str">
            <v>Commercial</v>
          </cell>
          <cell r="D22">
            <v>2113441</v>
          </cell>
          <cell r="E22">
            <v>347170</v>
          </cell>
          <cell r="F22">
            <v>296201</v>
          </cell>
          <cell r="G22">
            <v>294868</v>
          </cell>
          <cell r="H22">
            <v>169239</v>
          </cell>
          <cell r="I22">
            <v>109676</v>
          </cell>
          <cell r="J22">
            <v>94463</v>
          </cell>
          <cell r="K22">
            <v>73800</v>
          </cell>
          <cell r="L22">
            <v>80664</v>
          </cell>
          <cell r="M22">
            <v>88626</v>
          </cell>
          <cell r="N22">
            <v>96743</v>
          </cell>
          <cell r="O22">
            <v>173941</v>
          </cell>
          <cell r="P22">
            <v>288050</v>
          </cell>
          <cell r="T22">
            <v>19</v>
          </cell>
          <cell r="U22" t="str">
            <v>Commercial</v>
          </cell>
          <cell r="W22">
            <v>2115267</v>
          </cell>
          <cell r="X22">
            <v>316998</v>
          </cell>
          <cell r="Y22">
            <v>352532</v>
          </cell>
          <cell r="Z22">
            <v>261748</v>
          </cell>
          <cell r="AA22">
            <v>176490</v>
          </cell>
          <cell r="AB22">
            <v>123339</v>
          </cell>
          <cell r="AC22">
            <v>94281</v>
          </cell>
          <cell r="AD22">
            <v>76469</v>
          </cell>
          <cell r="AE22">
            <v>76972</v>
          </cell>
          <cell r="AF22">
            <v>83945</v>
          </cell>
          <cell r="AG22">
            <v>102036</v>
          </cell>
          <cell r="AH22">
            <v>151511</v>
          </cell>
          <cell r="AI22">
            <v>298946</v>
          </cell>
        </row>
        <row r="23">
          <cell r="A23">
            <v>20</v>
          </cell>
          <cell r="B23" t="str">
            <v xml:space="preserve">Industrial </v>
          </cell>
          <cell r="D23">
            <v>3116438</v>
          </cell>
          <cell r="E23">
            <v>295069</v>
          </cell>
          <cell r="F23">
            <v>274111</v>
          </cell>
          <cell r="G23">
            <v>302431</v>
          </cell>
          <cell r="H23">
            <v>237149</v>
          </cell>
          <cell r="I23">
            <v>252229</v>
          </cell>
          <cell r="J23">
            <v>247356</v>
          </cell>
          <cell r="K23">
            <v>199888</v>
          </cell>
          <cell r="L23">
            <v>233423</v>
          </cell>
          <cell r="M23">
            <v>275760</v>
          </cell>
          <cell r="N23">
            <v>280536</v>
          </cell>
          <cell r="O23">
            <v>249824</v>
          </cell>
          <cell r="P23">
            <v>268662</v>
          </cell>
          <cell r="T23">
            <v>20</v>
          </cell>
          <cell r="U23" t="str">
            <v xml:space="preserve">Industrial </v>
          </cell>
          <cell r="W23">
            <v>3201844</v>
          </cell>
          <cell r="X23">
            <v>299138</v>
          </cell>
          <cell r="Y23">
            <v>301498</v>
          </cell>
          <cell r="Z23">
            <v>305682</v>
          </cell>
          <cell r="AA23">
            <v>255736</v>
          </cell>
          <cell r="AB23">
            <v>245393</v>
          </cell>
          <cell r="AC23">
            <v>246573</v>
          </cell>
          <cell r="AD23">
            <v>211070</v>
          </cell>
          <cell r="AE23">
            <v>231721</v>
          </cell>
          <cell r="AF23">
            <v>264045</v>
          </cell>
          <cell r="AG23">
            <v>281925</v>
          </cell>
          <cell r="AH23">
            <v>250173</v>
          </cell>
          <cell r="AI23">
            <v>308890</v>
          </cell>
        </row>
        <row r="24">
          <cell r="A24">
            <v>21</v>
          </cell>
          <cell r="B24" t="str">
            <v>Other</v>
          </cell>
          <cell r="D24">
            <v>95415</v>
          </cell>
          <cell r="E24">
            <v>4032</v>
          </cell>
          <cell r="F24">
            <v>2753</v>
          </cell>
          <cell r="G24">
            <v>3753</v>
          </cell>
          <cell r="H24">
            <v>3819</v>
          </cell>
          <cell r="I24">
            <v>5622</v>
          </cell>
          <cell r="J24">
            <v>10775</v>
          </cell>
          <cell r="K24">
            <v>11752</v>
          </cell>
          <cell r="L24">
            <v>15477</v>
          </cell>
          <cell r="M24">
            <v>8290</v>
          </cell>
          <cell r="N24">
            <v>12848</v>
          </cell>
          <cell r="O24">
            <v>9748</v>
          </cell>
          <cell r="P24">
            <v>6546</v>
          </cell>
          <cell r="T24">
            <v>21</v>
          </cell>
          <cell r="U24" t="str">
            <v xml:space="preserve">Interruptible </v>
          </cell>
          <cell r="W24">
            <v>92807</v>
          </cell>
          <cell r="X24">
            <v>3834</v>
          </cell>
          <cell r="Y24">
            <v>3845</v>
          </cell>
          <cell r="Z24">
            <v>5825</v>
          </cell>
          <cell r="AA24">
            <v>6611</v>
          </cell>
          <cell r="AB24">
            <v>9257</v>
          </cell>
          <cell r="AC24">
            <v>10713</v>
          </cell>
          <cell r="AD24">
            <v>10244</v>
          </cell>
          <cell r="AE24">
            <v>11247</v>
          </cell>
          <cell r="AF24">
            <v>6717</v>
          </cell>
          <cell r="AG24">
            <v>9759</v>
          </cell>
          <cell r="AH24">
            <v>8276</v>
          </cell>
          <cell r="AI24">
            <v>6479</v>
          </cell>
        </row>
        <row r="25">
          <cell r="A25">
            <v>22</v>
          </cell>
          <cell r="B25" t="str">
            <v>Total Volume</v>
          </cell>
          <cell r="C25"/>
          <cell r="D25">
            <v>7960403</v>
          </cell>
          <cell r="E25">
            <v>1205613</v>
          </cell>
          <cell r="F25">
            <v>1026873</v>
          </cell>
          <cell r="G25">
            <v>1010770</v>
          </cell>
          <cell r="H25">
            <v>690338</v>
          </cell>
          <cell r="I25">
            <v>471832</v>
          </cell>
          <cell r="J25">
            <v>419734</v>
          </cell>
          <cell r="K25">
            <v>332731</v>
          </cell>
          <cell r="L25">
            <v>373798</v>
          </cell>
          <cell r="M25">
            <v>419922</v>
          </cell>
          <cell r="N25">
            <v>443418</v>
          </cell>
          <cell r="O25">
            <v>604790</v>
          </cell>
          <cell r="P25">
            <v>960584</v>
          </cell>
          <cell r="T25">
            <v>22</v>
          </cell>
          <cell r="U25" t="str">
            <v>Total Deliveries</v>
          </cell>
          <cell r="V25"/>
          <cell r="W25">
            <v>7898710</v>
          </cell>
          <cell r="X25">
            <v>1008237</v>
          </cell>
          <cell r="Y25">
            <v>1201398</v>
          </cell>
          <cell r="Z25">
            <v>960386</v>
          </cell>
          <cell r="AA25">
            <v>694725</v>
          </cell>
          <cell r="AB25">
            <v>523369</v>
          </cell>
          <cell r="AC25">
            <v>421600</v>
          </cell>
          <cell r="AD25">
            <v>345193</v>
          </cell>
          <cell r="AE25">
            <v>359599</v>
          </cell>
          <cell r="AF25">
            <v>399472</v>
          </cell>
          <cell r="AG25">
            <v>447358</v>
          </cell>
          <cell r="AH25">
            <v>556825</v>
          </cell>
          <cell r="AI25">
            <v>980548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51145</v>
          </cell>
          <cell r="F28">
            <v>51357</v>
          </cell>
          <cell r="G28">
            <v>51441</v>
          </cell>
          <cell r="H28">
            <v>51437</v>
          </cell>
          <cell r="I28">
            <v>51417</v>
          </cell>
          <cell r="J28">
            <v>51312</v>
          </cell>
          <cell r="K28">
            <v>51387</v>
          </cell>
          <cell r="L28">
            <v>51454</v>
          </cell>
          <cell r="M28">
            <v>51634</v>
          </cell>
          <cell r="N28">
            <v>52235</v>
          </cell>
          <cell r="O28">
            <v>52760</v>
          </cell>
          <cell r="P28">
            <v>53205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1108900</v>
          </cell>
          <cell r="F29">
            <v>1199078</v>
          </cell>
          <cell r="G29">
            <v>1046732</v>
          </cell>
          <cell r="H29">
            <v>717308</v>
          </cell>
          <cell r="I29">
            <v>495772</v>
          </cell>
          <cell r="J29">
            <v>356715</v>
          </cell>
          <cell r="K29">
            <v>348138</v>
          </cell>
          <cell r="L29">
            <v>324917</v>
          </cell>
          <cell r="M29">
            <v>382397</v>
          </cell>
          <cell r="N29">
            <v>474799</v>
          </cell>
          <cell r="O29">
            <v>581479</v>
          </cell>
          <cell r="P29">
            <v>935759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1147711.5</v>
          </cell>
          <cell r="F30">
            <v>1241045.73</v>
          </cell>
          <cell r="G30">
            <v>1083367.6199999999</v>
          </cell>
          <cell r="H30">
            <v>742413.77999999991</v>
          </cell>
          <cell r="I30">
            <v>513124.01999999996</v>
          </cell>
          <cell r="J30">
            <v>369200.02499999997</v>
          </cell>
          <cell r="K30">
            <v>360322.82999999996</v>
          </cell>
          <cell r="L30">
            <v>336289.09499999997</v>
          </cell>
          <cell r="M30">
            <v>395780.89499999996</v>
          </cell>
          <cell r="N30">
            <v>491416.96499999997</v>
          </cell>
          <cell r="O30">
            <v>601830.7649999999</v>
          </cell>
          <cell r="P30">
            <v>968510.56499999994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47631</v>
          </cell>
          <cell r="F34">
            <v>47736</v>
          </cell>
          <cell r="G34">
            <v>47824</v>
          </cell>
          <cell r="H34">
            <v>47887</v>
          </cell>
          <cell r="I34">
            <v>47887</v>
          </cell>
          <cell r="J34">
            <v>47859</v>
          </cell>
          <cell r="K34">
            <v>47832</v>
          </cell>
          <cell r="L34">
            <v>47838</v>
          </cell>
          <cell r="M34">
            <v>47875</v>
          </cell>
          <cell r="N34">
            <v>47935</v>
          </cell>
          <cell r="O34">
            <v>48030</v>
          </cell>
          <cell r="P34">
            <v>48171</v>
          </cell>
          <cell r="T34">
            <v>31</v>
          </cell>
          <cell r="U34" t="str">
            <v>Residential</v>
          </cell>
          <cell r="V34"/>
          <cell r="W34"/>
          <cell r="X34">
            <v>44906</v>
          </cell>
          <cell r="Y34">
            <v>45088</v>
          </cell>
          <cell r="Z34">
            <v>45202</v>
          </cell>
          <cell r="AA34">
            <v>45294</v>
          </cell>
          <cell r="AB34">
            <v>45310</v>
          </cell>
          <cell r="AC34">
            <v>45304</v>
          </cell>
          <cell r="AD34">
            <v>45303</v>
          </cell>
          <cell r="AE34">
            <v>45309</v>
          </cell>
          <cell r="AF34">
            <v>45330</v>
          </cell>
          <cell r="AG34">
            <v>45375</v>
          </cell>
          <cell r="AH34">
            <v>45469</v>
          </cell>
          <cell r="AI34">
            <v>45605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3994</v>
          </cell>
          <cell r="F35">
            <v>3998</v>
          </cell>
          <cell r="G35">
            <v>4001</v>
          </cell>
          <cell r="H35">
            <v>3996</v>
          </cell>
          <cell r="I35">
            <v>3981</v>
          </cell>
          <cell r="J35">
            <v>3968</v>
          </cell>
          <cell r="K35">
            <v>3955</v>
          </cell>
          <cell r="L35">
            <v>3946</v>
          </cell>
          <cell r="M35">
            <v>3939</v>
          </cell>
          <cell r="N35">
            <v>3932</v>
          </cell>
          <cell r="O35">
            <v>3933</v>
          </cell>
          <cell r="P35">
            <v>3941</v>
          </cell>
          <cell r="T35">
            <v>32</v>
          </cell>
          <cell r="U35" t="str">
            <v>Commercial</v>
          </cell>
          <cell r="V35"/>
          <cell r="W35"/>
          <cell r="X35">
            <v>3870</v>
          </cell>
          <cell r="Y35">
            <v>3895</v>
          </cell>
          <cell r="Z35">
            <v>3898</v>
          </cell>
          <cell r="AA35">
            <v>3894</v>
          </cell>
          <cell r="AB35">
            <v>3883</v>
          </cell>
          <cell r="AC35">
            <v>3874</v>
          </cell>
          <cell r="AD35">
            <v>3866</v>
          </cell>
          <cell r="AE35">
            <v>3859</v>
          </cell>
          <cell r="AF35">
            <v>3851</v>
          </cell>
          <cell r="AG35">
            <v>3847</v>
          </cell>
          <cell r="AH35">
            <v>3849</v>
          </cell>
          <cell r="AI35">
            <v>3857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87</v>
          </cell>
          <cell r="F36">
            <v>87</v>
          </cell>
          <cell r="G36">
            <v>87</v>
          </cell>
          <cell r="H36">
            <v>87</v>
          </cell>
          <cell r="I36">
            <v>88</v>
          </cell>
          <cell r="J36">
            <v>87</v>
          </cell>
          <cell r="K36">
            <v>87</v>
          </cell>
          <cell r="L36">
            <v>87</v>
          </cell>
          <cell r="M36">
            <v>87</v>
          </cell>
          <cell r="N36">
            <v>87</v>
          </cell>
          <cell r="O36">
            <v>87</v>
          </cell>
          <cell r="P36">
            <v>88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80</v>
          </cell>
          <cell r="Y36">
            <v>80</v>
          </cell>
          <cell r="Z36">
            <v>80</v>
          </cell>
          <cell r="AA36">
            <v>80</v>
          </cell>
          <cell r="AB36">
            <v>80</v>
          </cell>
          <cell r="AC36">
            <v>79</v>
          </cell>
          <cell r="AD36">
            <v>79</v>
          </cell>
          <cell r="AE36">
            <v>80</v>
          </cell>
          <cell r="AF36">
            <v>80</v>
          </cell>
          <cell r="AG36">
            <v>80</v>
          </cell>
          <cell r="AH36">
            <v>80</v>
          </cell>
          <cell r="AI36">
            <v>81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5</v>
          </cell>
          <cell r="F37">
            <v>5</v>
          </cell>
          <cell r="G37">
            <v>5</v>
          </cell>
          <cell r="H37">
            <v>5</v>
          </cell>
          <cell r="I37">
            <v>5</v>
          </cell>
          <cell r="J37">
            <v>6</v>
          </cell>
          <cell r="K37">
            <v>6</v>
          </cell>
          <cell r="L37">
            <v>5</v>
          </cell>
          <cell r="M37">
            <v>5</v>
          </cell>
          <cell r="N37">
            <v>5</v>
          </cell>
          <cell r="O37">
            <v>4</v>
          </cell>
          <cell r="P37">
            <v>5</v>
          </cell>
          <cell r="T37">
            <v>34</v>
          </cell>
          <cell r="U37" t="str">
            <v>Other</v>
          </cell>
          <cell r="V37"/>
          <cell r="W37"/>
          <cell r="X37">
            <v>3</v>
          </cell>
          <cell r="Y37">
            <v>3</v>
          </cell>
          <cell r="Z37">
            <v>4</v>
          </cell>
          <cell r="AA37">
            <v>4</v>
          </cell>
          <cell r="AB37">
            <v>4</v>
          </cell>
          <cell r="AC37">
            <v>4</v>
          </cell>
          <cell r="AD37">
            <v>4</v>
          </cell>
          <cell r="AE37">
            <v>4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51717</v>
          </cell>
          <cell r="F38">
            <v>51826</v>
          </cell>
          <cell r="G38">
            <v>51917</v>
          </cell>
          <cell r="H38">
            <v>51975</v>
          </cell>
          <cell r="I38">
            <v>51961</v>
          </cell>
          <cell r="J38">
            <v>51920</v>
          </cell>
          <cell r="K38">
            <v>51880</v>
          </cell>
          <cell r="L38">
            <v>51876</v>
          </cell>
          <cell r="M38">
            <v>51906</v>
          </cell>
          <cell r="N38">
            <v>51959</v>
          </cell>
          <cell r="O38">
            <v>52054</v>
          </cell>
          <cell r="P38">
            <v>52205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48859</v>
          </cell>
          <cell r="Y38">
            <v>49066</v>
          </cell>
          <cell r="Z38">
            <v>49184</v>
          </cell>
          <cell r="AA38">
            <v>49272</v>
          </cell>
          <cell r="AB38">
            <v>49277</v>
          </cell>
          <cell r="AC38">
            <v>49261</v>
          </cell>
          <cell r="AD38">
            <v>49252</v>
          </cell>
          <cell r="AE38">
            <v>49252</v>
          </cell>
          <cell r="AF38">
            <v>49266</v>
          </cell>
          <cell r="AG38">
            <v>49307</v>
          </cell>
          <cell r="AH38">
            <v>49403</v>
          </cell>
          <cell r="AI38">
            <v>49548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532570</v>
          </cell>
          <cell r="F41">
            <v>965217</v>
          </cell>
          <cell r="G41">
            <v>1356136</v>
          </cell>
          <cell r="H41">
            <v>1623971</v>
          </cell>
          <cell r="I41">
            <v>1723826</v>
          </cell>
          <cell r="J41">
            <v>1788102</v>
          </cell>
          <cell r="K41">
            <v>1833217</v>
          </cell>
          <cell r="L41">
            <v>1875592</v>
          </cell>
          <cell r="M41">
            <v>1920718</v>
          </cell>
          <cell r="N41">
            <v>1971513</v>
          </cell>
          <cell r="O41">
            <v>2134733</v>
          </cell>
          <cell r="P41">
            <v>2512861</v>
          </cell>
          <cell r="T41">
            <v>38</v>
          </cell>
          <cell r="U41" t="str">
            <v>Residential</v>
          </cell>
          <cell r="W41"/>
          <cell r="X41">
            <v>366424</v>
          </cell>
          <cell r="Y41">
            <v>880530</v>
          </cell>
          <cell r="Z41">
            <v>1247813</v>
          </cell>
          <cell r="AA41">
            <v>1490145</v>
          </cell>
          <cell r="AB41">
            <v>1628440</v>
          </cell>
          <cell r="AC41">
            <v>1695006</v>
          </cell>
          <cell r="AD41">
            <v>1739874</v>
          </cell>
          <cell r="AE41">
            <v>1777444</v>
          </cell>
          <cell r="AF41">
            <v>1819907</v>
          </cell>
          <cell r="AG41">
            <v>1870863</v>
          </cell>
          <cell r="AH41">
            <v>2010434</v>
          </cell>
          <cell r="AI41">
            <v>2358386</v>
          </cell>
        </row>
        <row r="42">
          <cell r="A42">
            <v>39</v>
          </cell>
          <cell r="B42" t="str">
            <v>Commercial</v>
          </cell>
          <cell r="D42"/>
          <cell r="E42">
            <v>330553</v>
          </cell>
          <cell r="F42">
            <v>612942</v>
          </cell>
          <cell r="G42">
            <v>894280</v>
          </cell>
          <cell r="H42">
            <v>1056090</v>
          </cell>
          <cell r="I42">
            <v>1161087</v>
          </cell>
          <cell r="J42">
            <v>1251520</v>
          </cell>
          <cell r="K42">
            <v>1321924</v>
          </cell>
          <cell r="L42">
            <v>1399199</v>
          </cell>
          <cell r="M42">
            <v>1483849</v>
          </cell>
          <cell r="N42">
            <v>1576061</v>
          </cell>
          <cell r="O42">
            <v>1741820</v>
          </cell>
          <cell r="P42">
            <v>2015952</v>
          </cell>
          <cell r="T42">
            <v>39</v>
          </cell>
          <cell r="U42" t="str">
            <v>Commercial</v>
          </cell>
          <cell r="W42"/>
          <cell r="X42">
            <v>299165</v>
          </cell>
          <cell r="Y42">
            <v>632617</v>
          </cell>
          <cell r="Z42">
            <v>880945</v>
          </cell>
          <cell r="AA42">
            <v>1048085</v>
          </cell>
          <cell r="AB42">
            <v>1165413</v>
          </cell>
          <cell r="AC42">
            <v>1255027</v>
          </cell>
          <cell r="AD42">
            <v>1327396</v>
          </cell>
          <cell r="AE42">
            <v>1400314</v>
          </cell>
          <cell r="AF42">
            <v>1479942</v>
          </cell>
          <cell r="AG42">
            <v>1576876</v>
          </cell>
          <cell r="AH42">
            <v>1720862</v>
          </cell>
          <cell r="AI42">
            <v>2004885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280946</v>
          </cell>
          <cell r="F43">
            <v>542275</v>
          </cell>
          <cell r="G43">
            <v>830829</v>
          </cell>
          <cell r="H43">
            <v>1057568</v>
          </cell>
          <cell r="I43">
            <v>1299037</v>
          </cell>
          <cell r="J43">
            <v>1535841</v>
          </cell>
          <cell r="K43">
            <v>1726532</v>
          </cell>
          <cell r="L43">
            <v>1950147</v>
          </cell>
          <cell r="M43">
            <v>2213536</v>
          </cell>
          <cell r="N43">
            <v>2480932</v>
          </cell>
          <cell r="O43">
            <v>2719005</v>
          </cell>
          <cell r="P43">
            <v>2974686</v>
          </cell>
          <cell r="T43">
            <v>40</v>
          </cell>
          <cell r="U43" t="str">
            <v xml:space="preserve">Industrial </v>
          </cell>
          <cell r="W43"/>
          <cell r="X43">
            <v>282310</v>
          </cell>
          <cell r="Y43">
            <v>567490</v>
          </cell>
          <cell r="Z43">
            <v>857500</v>
          </cell>
          <cell r="AA43">
            <v>1099688</v>
          </cell>
          <cell r="AB43">
            <v>1333122</v>
          </cell>
          <cell r="AC43">
            <v>1567489</v>
          </cell>
          <cell r="AD43">
            <v>1767243</v>
          </cell>
          <cell r="AE43">
            <v>1986761</v>
          </cell>
          <cell r="AF43">
            <v>2237226</v>
          </cell>
          <cell r="AG43">
            <v>2505055</v>
          </cell>
          <cell r="AH43">
            <v>2742803</v>
          </cell>
          <cell r="AI43">
            <v>3036274</v>
          </cell>
        </row>
        <row r="44">
          <cell r="A44">
            <v>41</v>
          </cell>
          <cell r="B44" t="str">
            <v>Other</v>
          </cell>
          <cell r="D44"/>
          <cell r="E44">
            <v>3839</v>
          </cell>
          <cell r="F44">
            <v>6464</v>
          </cell>
          <cell r="G44">
            <v>10045</v>
          </cell>
          <cell r="H44">
            <v>13696</v>
          </cell>
          <cell r="I44">
            <v>19078</v>
          </cell>
          <cell r="J44">
            <v>29393</v>
          </cell>
          <cell r="K44">
            <v>40604</v>
          </cell>
          <cell r="L44">
            <v>55431</v>
          </cell>
          <cell r="M44">
            <v>63349</v>
          </cell>
          <cell r="N44">
            <v>75595</v>
          </cell>
          <cell r="O44">
            <v>84884</v>
          </cell>
          <cell r="P44">
            <v>91114</v>
          </cell>
          <cell r="T44">
            <v>41</v>
          </cell>
          <cell r="U44" t="str">
            <v>Other</v>
          </cell>
          <cell r="W44"/>
          <cell r="X44">
            <v>3618</v>
          </cell>
          <cell r="Y44">
            <v>7255</v>
          </cell>
          <cell r="Z44">
            <v>12781</v>
          </cell>
          <cell r="AA44">
            <v>19042</v>
          </cell>
          <cell r="AB44">
            <v>27848</v>
          </cell>
          <cell r="AC44">
            <v>38031</v>
          </cell>
          <cell r="AD44">
            <v>47726</v>
          </cell>
          <cell r="AE44">
            <v>58381</v>
          </cell>
          <cell r="AF44">
            <v>64753</v>
          </cell>
          <cell r="AG44">
            <v>74024</v>
          </cell>
          <cell r="AH44">
            <v>81889</v>
          </cell>
          <cell r="AI44">
            <v>88045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1147908</v>
          </cell>
          <cell r="F45">
            <v>2126898</v>
          </cell>
          <cell r="G45">
            <v>3091290</v>
          </cell>
          <cell r="H45">
            <v>3751325</v>
          </cell>
          <cell r="I45">
            <v>4203028</v>
          </cell>
          <cell r="J45">
            <v>4604856</v>
          </cell>
          <cell r="K45">
            <v>4922277</v>
          </cell>
          <cell r="L45">
            <v>5280369</v>
          </cell>
          <cell r="M45">
            <v>5681452</v>
          </cell>
          <cell r="N45">
            <v>6104101</v>
          </cell>
          <cell r="O45">
            <v>6680442</v>
          </cell>
          <cell r="P45">
            <v>7594613</v>
          </cell>
          <cell r="T45">
            <v>42</v>
          </cell>
          <cell r="U45" t="str">
            <v>Total Volume</v>
          </cell>
          <cell r="V45"/>
          <cell r="W45"/>
          <cell r="X45">
            <v>951517</v>
          </cell>
          <cell r="Y45">
            <v>2087892</v>
          </cell>
          <cell r="Z45">
            <v>2999039</v>
          </cell>
          <cell r="AA45">
            <v>3656960</v>
          </cell>
          <cell r="AB45">
            <v>4154823</v>
          </cell>
          <cell r="AC45">
            <v>4555553</v>
          </cell>
          <cell r="AD45">
            <v>4882239</v>
          </cell>
          <cell r="AE45">
            <v>5222900</v>
          </cell>
          <cell r="AF45">
            <v>5601828</v>
          </cell>
          <cell r="AG45">
            <v>6026818</v>
          </cell>
          <cell r="AH45">
            <v>6555988</v>
          </cell>
          <cell r="AI45">
            <v>7487590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V47"/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559342</v>
          </cell>
          <cell r="F48">
            <v>1013150</v>
          </cell>
          <cell r="G48">
            <v>1422868</v>
          </cell>
          <cell r="H48">
            <v>1702999</v>
          </cell>
          <cell r="I48">
            <v>1807304</v>
          </cell>
          <cell r="J48">
            <v>1874444</v>
          </cell>
          <cell r="K48">
            <v>1921735</v>
          </cell>
          <cell r="L48">
            <v>1965969</v>
          </cell>
          <cell r="M48">
            <v>2013215</v>
          </cell>
          <cell r="N48">
            <v>2066506</v>
          </cell>
          <cell r="O48">
            <v>2237783</v>
          </cell>
          <cell r="P48">
            <v>2635109</v>
          </cell>
          <cell r="T48">
            <v>45</v>
          </cell>
          <cell r="U48" t="str">
            <v>Residential</v>
          </cell>
          <cell r="W48"/>
          <cell r="X48">
            <v>388267</v>
          </cell>
          <cell r="Y48">
            <v>931790</v>
          </cell>
          <cell r="Z48">
            <v>1318921</v>
          </cell>
          <cell r="AA48">
            <v>1574809</v>
          </cell>
          <cell r="AB48">
            <v>1720189</v>
          </cell>
          <cell r="AC48">
            <v>1790222</v>
          </cell>
          <cell r="AD48">
            <v>1837632</v>
          </cell>
          <cell r="AE48">
            <v>1877291</v>
          </cell>
          <cell r="AF48">
            <v>1922056</v>
          </cell>
          <cell r="AG48">
            <v>1975694</v>
          </cell>
          <cell r="AH48">
            <v>2122559</v>
          </cell>
          <cell r="AI48">
            <v>2488792</v>
          </cell>
        </row>
        <row r="49">
          <cell r="A49">
            <v>46</v>
          </cell>
          <cell r="B49" t="str">
            <v>Commercial</v>
          </cell>
          <cell r="D49"/>
          <cell r="E49">
            <v>347170</v>
          </cell>
          <cell r="F49">
            <v>643371</v>
          </cell>
          <cell r="G49">
            <v>938239</v>
          </cell>
          <cell r="H49">
            <v>1107478</v>
          </cell>
          <cell r="I49">
            <v>1217154</v>
          </cell>
          <cell r="J49">
            <v>1311617</v>
          </cell>
          <cell r="K49">
            <v>1385417</v>
          </cell>
          <cell r="L49">
            <v>1466081</v>
          </cell>
          <cell r="M49">
            <v>1554707</v>
          </cell>
          <cell r="N49">
            <v>1651450</v>
          </cell>
          <cell r="O49">
            <v>1825391</v>
          </cell>
          <cell r="P49">
            <v>2113441</v>
          </cell>
          <cell r="T49">
            <v>46</v>
          </cell>
          <cell r="U49" t="str">
            <v>Commercial</v>
          </cell>
          <cell r="W49"/>
          <cell r="X49">
            <v>316998</v>
          </cell>
          <cell r="Y49">
            <v>669530</v>
          </cell>
          <cell r="Z49">
            <v>931278</v>
          </cell>
          <cell r="AA49">
            <v>1107768</v>
          </cell>
          <cell r="AB49">
            <v>1231107</v>
          </cell>
          <cell r="AC49">
            <v>1325388</v>
          </cell>
          <cell r="AD49">
            <v>1401857</v>
          </cell>
          <cell r="AE49">
            <v>1478829</v>
          </cell>
          <cell r="AF49">
            <v>1562774</v>
          </cell>
          <cell r="AG49">
            <v>1664810</v>
          </cell>
          <cell r="AH49">
            <v>1816321</v>
          </cell>
          <cell r="AI49">
            <v>2115267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295069</v>
          </cell>
          <cell r="F50">
            <v>569180</v>
          </cell>
          <cell r="G50">
            <v>871611</v>
          </cell>
          <cell r="H50">
            <v>1108760</v>
          </cell>
          <cell r="I50">
            <v>1360989</v>
          </cell>
          <cell r="J50">
            <v>1608345</v>
          </cell>
          <cell r="K50">
            <v>1808233</v>
          </cell>
          <cell r="L50">
            <v>2041656</v>
          </cell>
          <cell r="M50">
            <v>2317416</v>
          </cell>
          <cell r="N50">
            <v>2597952</v>
          </cell>
          <cell r="O50">
            <v>2847776</v>
          </cell>
          <cell r="P50">
            <v>3116438</v>
          </cell>
          <cell r="T50">
            <v>47</v>
          </cell>
          <cell r="U50" t="str">
            <v xml:space="preserve">Industrial </v>
          </cell>
          <cell r="W50"/>
          <cell r="X50">
            <v>299138</v>
          </cell>
          <cell r="Y50">
            <v>600636</v>
          </cell>
          <cell r="Z50">
            <v>906318</v>
          </cell>
          <cell r="AA50">
            <v>1162054</v>
          </cell>
          <cell r="AB50">
            <v>1407447</v>
          </cell>
          <cell r="AC50">
            <v>1654020</v>
          </cell>
          <cell r="AD50">
            <v>1865090</v>
          </cell>
          <cell r="AE50">
            <v>2096811</v>
          </cell>
          <cell r="AF50">
            <v>2360856</v>
          </cell>
          <cell r="AG50">
            <v>2642781</v>
          </cell>
          <cell r="AH50">
            <v>2892954</v>
          </cell>
          <cell r="AI50">
            <v>3201844</v>
          </cell>
        </row>
        <row r="51">
          <cell r="A51">
            <v>48</v>
          </cell>
          <cell r="B51" t="str">
            <v>Other</v>
          </cell>
          <cell r="D51"/>
          <cell r="E51">
            <v>4032</v>
          </cell>
          <cell r="F51">
            <v>6785</v>
          </cell>
          <cell r="G51">
            <v>10538</v>
          </cell>
          <cell r="H51">
            <v>14357</v>
          </cell>
          <cell r="I51">
            <v>19979</v>
          </cell>
          <cell r="J51">
            <v>30754</v>
          </cell>
          <cell r="K51">
            <v>42506</v>
          </cell>
          <cell r="L51">
            <v>57983</v>
          </cell>
          <cell r="M51">
            <v>66273</v>
          </cell>
          <cell r="N51">
            <v>79121</v>
          </cell>
          <cell r="O51">
            <v>88869</v>
          </cell>
          <cell r="P51">
            <v>95415</v>
          </cell>
          <cell r="T51">
            <v>48</v>
          </cell>
          <cell r="U51" t="str">
            <v>Other</v>
          </cell>
          <cell r="W51"/>
          <cell r="X51">
            <v>3834</v>
          </cell>
          <cell r="Y51">
            <v>7679</v>
          </cell>
          <cell r="Z51">
            <v>13504</v>
          </cell>
          <cell r="AA51">
            <v>20115</v>
          </cell>
          <cell r="AB51">
            <v>29372</v>
          </cell>
          <cell r="AC51">
            <v>40085</v>
          </cell>
          <cell r="AD51">
            <v>50329</v>
          </cell>
          <cell r="AE51">
            <v>61576</v>
          </cell>
          <cell r="AF51">
            <v>68293</v>
          </cell>
          <cell r="AG51">
            <v>78052</v>
          </cell>
          <cell r="AH51">
            <v>86328</v>
          </cell>
          <cell r="AI51">
            <v>92807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1205613</v>
          </cell>
          <cell r="F52">
            <v>2232486</v>
          </cell>
          <cell r="G52">
            <v>3243256</v>
          </cell>
          <cell r="H52">
            <v>3933594</v>
          </cell>
          <cell r="I52">
            <v>4405426</v>
          </cell>
          <cell r="J52">
            <v>4825160</v>
          </cell>
          <cell r="K52">
            <v>5157891</v>
          </cell>
          <cell r="L52">
            <v>5531689</v>
          </cell>
          <cell r="M52">
            <v>5951611</v>
          </cell>
          <cell r="N52">
            <v>6395029</v>
          </cell>
          <cell r="O52">
            <v>6999819</v>
          </cell>
          <cell r="P52">
            <v>7960403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1008237</v>
          </cell>
          <cell r="Y52">
            <v>2209635</v>
          </cell>
          <cell r="Z52">
            <v>3170021</v>
          </cell>
          <cell r="AA52">
            <v>3864746</v>
          </cell>
          <cell r="AB52">
            <v>4388115</v>
          </cell>
          <cell r="AC52">
            <v>4809715</v>
          </cell>
          <cell r="AD52">
            <v>5154908</v>
          </cell>
          <cell r="AE52">
            <v>5514507</v>
          </cell>
          <cell r="AF52">
            <v>5913979</v>
          </cell>
          <cell r="AG52">
            <v>6361337</v>
          </cell>
          <cell r="AH52">
            <v>6918162</v>
          </cell>
          <cell r="AI52">
            <v>7898710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51145</v>
          </cell>
          <cell r="F55">
            <v>51251</v>
          </cell>
          <cell r="G55">
            <v>51314</v>
          </cell>
          <cell r="H55">
            <v>51345</v>
          </cell>
          <cell r="I55">
            <v>51359</v>
          </cell>
          <cell r="J55">
            <v>51352</v>
          </cell>
          <cell r="K55">
            <v>51357</v>
          </cell>
          <cell r="L55">
            <v>51369</v>
          </cell>
          <cell r="M55">
            <v>51398</v>
          </cell>
          <cell r="N55">
            <v>51482</v>
          </cell>
          <cell r="O55">
            <v>51598</v>
          </cell>
          <cell r="P55">
            <v>51732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1108900</v>
          </cell>
          <cell r="F56">
            <v>2307978</v>
          </cell>
          <cell r="G56">
            <v>3354710</v>
          </cell>
          <cell r="H56">
            <v>4072018</v>
          </cell>
          <cell r="I56">
            <v>4567790</v>
          </cell>
          <cell r="J56">
            <v>4924505</v>
          </cell>
          <cell r="K56">
            <v>5272643</v>
          </cell>
          <cell r="L56">
            <v>5597560</v>
          </cell>
          <cell r="M56">
            <v>5979957</v>
          </cell>
          <cell r="N56">
            <v>6454756</v>
          </cell>
          <cell r="O56">
            <v>7036235</v>
          </cell>
          <cell r="P56">
            <v>7971994</v>
          </cell>
        </row>
        <row r="57">
          <cell r="A57">
            <v>54</v>
          </cell>
          <cell r="B57" t="str">
            <v>Cumulative YTD Budget Volume (Dts) * 1.035</v>
          </cell>
          <cell r="E57">
            <v>1147711.5</v>
          </cell>
          <cell r="F57">
            <v>2388757.23</v>
          </cell>
          <cell r="G57">
            <v>3472124.8499999996</v>
          </cell>
          <cell r="H57">
            <v>4214538.63</v>
          </cell>
          <cell r="I57">
            <v>4727662.6499999994</v>
          </cell>
          <cell r="J57">
            <v>5096862.6749999998</v>
          </cell>
          <cell r="K57">
            <v>5457185.5049999999</v>
          </cell>
          <cell r="L57">
            <v>5793474.5999999996</v>
          </cell>
          <cell r="M57">
            <v>6189255.4949999992</v>
          </cell>
          <cell r="N57">
            <v>6680672.459999999</v>
          </cell>
          <cell r="O57">
            <v>7282503.2249999987</v>
          </cell>
          <cell r="P57">
            <v>8251013.7899999991</v>
          </cell>
        </row>
      </sheetData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10999.5</v>
          </cell>
          <cell r="E5">
            <v>11291</v>
          </cell>
          <cell r="F5">
            <v>11334</v>
          </cell>
          <cell r="G5">
            <v>11302</v>
          </cell>
          <cell r="H5">
            <v>11219</v>
          </cell>
          <cell r="I5">
            <v>11058</v>
          </cell>
          <cell r="J5">
            <v>10856</v>
          </cell>
          <cell r="K5">
            <v>10737</v>
          </cell>
          <cell r="L5">
            <v>10720</v>
          </cell>
          <cell r="M5">
            <v>10691</v>
          </cell>
          <cell r="N5">
            <v>10732</v>
          </cell>
          <cell r="O5">
            <v>10897</v>
          </cell>
          <cell r="P5">
            <v>11157</v>
          </cell>
          <cell r="T5">
            <v>2</v>
          </cell>
          <cell r="U5" t="str">
            <v>Residential</v>
          </cell>
          <cell r="V5">
            <v>11035</v>
          </cell>
          <cell r="W5">
            <v>132416</v>
          </cell>
          <cell r="X5">
            <v>11226</v>
          </cell>
          <cell r="Y5">
            <v>11343</v>
          </cell>
          <cell r="Z5">
            <v>11337</v>
          </cell>
          <cell r="AA5">
            <v>11308</v>
          </cell>
          <cell r="AB5">
            <v>11150</v>
          </cell>
          <cell r="AC5">
            <v>10993</v>
          </cell>
          <cell r="AD5">
            <v>10843</v>
          </cell>
          <cell r="AE5">
            <v>10765</v>
          </cell>
          <cell r="AF5">
            <v>10714</v>
          </cell>
          <cell r="AG5">
            <v>10740</v>
          </cell>
          <cell r="AH5">
            <v>10877</v>
          </cell>
          <cell r="AI5">
            <v>11120</v>
          </cell>
        </row>
        <row r="6">
          <cell r="A6">
            <v>3</v>
          </cell>
          <cell r="B6" t="str">
            <v>Commercial</v>
          </cell>
          <cell r="C6"/>
          <cell r="D6">
            <v>1844.6666666666667</v>
          </cell>
          <cell r="E6">
            <v>1876</v>
          </cell>
          <cell r="F6">
            <v>1871</v>
          </cell>
          <cell r="G6">
            <v>1876</v>
          </cell>
          <cell r="H6">
            <v>1874</v>
          </cell>
          <cell r="I6">
            <v>1837</v>
          </cell>
          <cell r="J6">
            <v>1813</v>
          </cell>
          <cell r="K6">
            <v>1816</v>
          </cell>
          <cell r="L6">
            <v>1812</v>
          </cell>
          <cell r="M6">
            <v>1813</v>
          </cell>
          <cell r="N6">
            <v>1812</v>
          </cell>
          <cell r="O6">
            <v>1849</v>
          </cell>
          <cell r="P6">
            <v>1887</v>
          </cell>
          <cell r="T6">
            <v>3</v>
          </cell>
          <cell r="U6" t="str">
            <v>Commercial</v>
          </cell>
          <cell r="V6">
            <v>1827</v>
          </cell>
          <cell r="W6">
            <v>21918</v>
          </cell>
          <cell r="X6">
            <v>1851</v>
          </cell>
          <cell r="Y6">
            <v>1861</v>
          </cell>
          <cell r="Z6">
            <v>1864</v>
          </cell>
          <cell r="AA6">
            <v>1847</v>
          </cell>
          <cell r="AB6">
            <v>1825</v>
          </cell>
          <cell r="AC6">
            <v>1816</v>
          </cell>
          <cell r="AD6">
            <v>1813</v>
          </cell>
          <cell r="AE6">
            <v>1794</v>
          </cell>
          <cell r="AF6">
            <v>1789</v>
          </cell>
          <cell r="AG6">
            <v>1792</v>
          </cell>
          <cell r="AH6">
            <v>1816</v>
          </cell>
          <cell r="AI6">
            <v>1850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41.333333333333336</v>
          </cell>
          <cell r="E7">
            <v>40</v>
          </cell>
          <cell r="F7">
            <v>40</v>
          </cell>
          <cell r="G7">
            <v>41</v>
          </cell>
          <cell r="H7">
            <v>40</v>
          </cell>
          <cell r="I7">
            <v>40</v>
          </cell>
          <cell r="J7">
            <v>40</v>
          </cell>
          <cell r="K7">
            <v>41</v>
          </cell>
          <cell r="L7">
            <v>41</v>
          </cell>
          <cell r="M7">
            <v>42</v>
          </cell>
          <cell r="N7">
            <v>43</v>
          </cell>
          <cell r="O7">
            <v>44</v>
          </cell>
          <cell r="P7">
            <v>44</v>
          </cell>
          <cell r="T7">
            <v>4</v>
          </cell>
          <cell r="U7" t="str">
            <v xml:space="preserve">Industrial </v>
          </cell>
          <cell r="V7">
            <v>39</v>
          </cell>
          <cell r="W7">
            <v>470</v>
          </cell>
          <cell r="X7">
            <v>38</v>
          </cell>
          <cell r="Y7">
            <v>38</v>
          </cell>
          <cell r="Z7">
            <v>38</v>
          </cell>
          <cell r="AA7">
            <v>38</v>
          </cell>
          <cell r="AB7">
            <v>39</v>
          </cell>
          <cell r="AC7">
            <v>39</v>
          </cell>
          <cell r="AD7">
            <v>40</v>
          </cell>
          <cell r="AE7">
            <v>40</v>
          </cell>
          <cell r="AF7">
            <v>40</v>
          </cell>
          <cell r="AG7">
            <v>40</v>
          </cell>
          <cell r="AH7">
            <v>40</v>
          </cell>
          <cell r="AI7">
            <v>40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/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12885.5</v>
          </cell>
          <cell r="E9">
            <v>13207</v>
          </cell>
          <cell r="F9">
            <v>13245</v>
          </cell>
          <cell r="G9">
            <v>13219</v>
          </cell>
          <cell r="H9">
            <v>13133</v>
          </cell>
          <cell r="I9">
            <v>12935</v>
          </cell>
          <cell r="J9">
            <v>12709</v>
          </cell>
          <cell r="K9">
            <v>12594</v>
          </cell>
          <cell r="L9">
            <v>12573</v>
          </cell>
          <cell r="M9">
            <v>12546</v>
          </cell>
          <cell r="N9">
            <v>12587</v>
          </cell>
          <cell r="O9">
            <v>12790</v>
          </cell>
          <cell r="P9">
            <v>13088</v>
          </cell>
          <cell r="T9">
            <v>6</v>
          </cell>
          <cell r="U9" t="str">
            <v>Total customers</v>
          </cell>
          <cell r="V9">
            <v>12901</v>
          </cell>
          <cell r="W9">
            <v>154804</v>
          </cell>
          <cell r="X9">
            <v>13115</v>
          </cell>
          <cell r="Y9">
            <v>13242</v>
          </cell>
          <cell r="Z9">
            <v>13239</v>
          </cell>
          <cell r="AA9">
            <v>13193</v>
          </cell>
          <cell r="AB9">
            <v>13014</v>
          </cell>
          <cell r="AC9">
            <v>12848</v>
          </cell>
          <cell r="AD9">
            <v>12696</v>
          </cell>
          <cell r="AE9">
            <v>12599</v>
          </cell>
          <cell r="AF9">
            <v>12543</v>
          </cell>
          <cell r="AG9">
            <v>12572</v>
          </cell>
          <cell r="AH9">
            <v>12733</v>
          </cell>
          <cell r="AI9">
            <v>13010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- 2017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479043.8</v>
          </cell>
          <cell r="D12"/>
          <cell r="E12">
            <v>99754</v>
          </cell>
          <cell r="F12">
            <v>86359</v>
          </cell>
          <cell r="G12">
            <v>68269</v>
          </cell>
          <cell r="H12">
            <v>55953</v>
          </cell>
          <cell r="I12">
            <v>18315</v>
          </cell>
          <cell r="J12">
            <v>12836.8</v>
          </cell>
          <cell r="K12">
            <v>9060</v>
          </cell>
          <cell r="L12">
            <v>8414</v>
          </cell>
          <cell r="M12">
            <v>9029</v>
          </cell>
          <cell r="N12">
            <v>10415</v>
          </cell>
          <cell r="O12">
            <v>28797</v>
          </cell>
          <cell r="P12">
            <v>71842</v>
          </cell>
          <cell r="T12">
            <v>9</v>
          </cell>
          <cell r="U12" t="str">
            <v>Residential</v>
          </cell>
          <cell r="W12">
            <v>476810</v>
          </cell>
          <cell r="X12">
            <v>69314</v>
          </cell>
          <cell r="Y12">
            <v>100309</v>
          </cell>
          <cell r="Z12">
            <v>83121</v>
          </cell>
          <cell r="AA12">
            <v>47236</v>
          </cell>
          <cell r="AB12">
            <v>30343</v>
          </cell>
          <cell r="AC12">
            <v>15152</v>
          </cell>
          <cell r="AD12">
            <v>8857</v>
          </cell>
          <cell r="AE12">
            <v>7993</v>
          </cell>
          <cell r="AF12">
            <v>8653</v>
          </cell>
          <cell r="AG12">
            <v>10803</v>
          </cell>
          <cell r="AH12">
            <v>28049</v>
          </cell>
          <cell r="AI12">
            <v>66980</v>
          </cell>
        </row>
        <row r="13">
          <cell r="A13">
            <v>10</v>
          </cell>
          <cell r="B13" t="str">
            <v>Commercial</v>
          </cell>
          <cell r="C13">
            <v>774911</v>
          </cell>
          <cell r="D13"/>
          <cell r="E13">
            <v>121684</v>
          </cell>
          <cell r="F13">
            <v>109246</v>
          </cell>
          <cell r="G13">
            <v>101719</v>
          </cell>
          <cell r="H13">
            <v>69580</v>
          </cell>
          <cell r="I13">
            <v>44117</v>
          </cell>
          <cell r="J13">
            <v>39428</v>
          </cell>
          <cell r="K13">
            <v>31739</v>
          </cell>
          <cell r="L13">
            <v>33782</v>
          </cell>
          <cell r="M13">
            <v>35271</v>
          </cell>
          <cell r="N13">
            <v>40468</v>
          </cell>
          <cell r="O13">
            <v>61915</v>
          </cell>
          <cell r="P13">
            <v>85962</v>
          </cell>
          <cell r="T13">
            <v>10</v>
          </cell>
          <cell r="U13" t="str">
            <v>Commercial</v>
          </cell>
          <cell r="W13">
            <v>804855</v>
          </cell>
          <cell r="X13">
            <v>95392</v>
          </cell>
          <cell r="Y13">
            <v>125552</v>
          </cell>
          <cell r="Z13">
            <v>106532</v>
          </cell>
          <cell r="AA13">
            <v>69664</v>
          </cell>
          <cell r="AB13">
            <v>54827</v>
          </cell>
          <cell r="AC13">
            <v>40729</v>
          </cell>
          <cell r="AD13">
            <v>32851</v>
          </cell>
          <cell r="AE13">
            <v>32580</v>
          </cell>
          <cell r="AF13">
            <v>37045</v>
          </cell>
          <cell r="AG13">
            <v>44487</v>
          </cell>
          <cell r="AH13">
            <v>61333</v>
          </cell>
          <cell r="AI13">
            <v>103863</v>
          </cell>
        </row>
        <row r="14">
          <cell r="A14">
            <v>11</v>
          </cell>
          <cell r="B14" t="str">
            <v xml:space="preserve">Industrial </v>
          </cell>
          <cell r="C14">
            <v>1708693</v>
          </cell>
          <cell r="D14"/>
          <cell r="E14">
            <v>144498</v>
          </cell>
          <cell r="F14">
            <v>135377</v>
          </cell>
          <cell r="G14">
            <v>153792</v>
          </cell>
          <cell r="H14">
            <v>127641</v>
          </cell>
          <cell r="I14">
            <v>132505</v>
          </cell>
          <cell r="J14">
            <v>135513</v>
          </cell>
          <cell r="K14">
            <v>117517</v>
          </cell>
          <cell r="L14">
            <v>147875</v>
          </cell>
          <cell r="M14">
            <v>124575</v>
          </cell>
          <cell r="N14">
            <v>151247</v>
          </cell>
          <cell r="O14">
            <v>175588</v>
          </cell>
          <cell r="P14">
            <v>162565</v>
          </cell>
          <cell r="T14">
            <v>11</v>
          </cell>
          <cell r="U14" t="str">
            <v xml:space="preserve">Industrial </v>
          </cell>
          <cell r="W14">
            <v>1640298</v>
          </cell>
          <cell r="X14">
            <v>140418</v>
          </cell>
          <cell r="Y14">
            <v>137864</v>
          </cell>
          <cell r="Z14">
            <v>142627</v>
          </cell>
          <cell r="AA14">
            <v>130717</v>
          </cell>
          <cell r="AB14">
            <v>119334</v>
          </cell>
          <cell r="AC14">
            <v>133093</v>
          </cell>
          <cell r="AD14">
            <v>112375</v>
          </cell>
          <cell r="AE14">
            <v>131056</v>
          </cell>
          <cell r="AF14">
            <v>141273</v>
          </cell>
          <cell r="AG14">
            <v>149609</v>
          </cell>
          <cell r="AH14">
            <v>144214</v>
          </cell>
          <cell r="AI14">
            <v>157718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2962647.8</v>
          </cell>
          <cell r="D16"/>
          <cell r="E16">
            <v>365936</v>
          </cell>
          <cell r="F16">
            <v>330982</v>
          </cell>
          <cell r="G16">
            <v>323780</v>
          </cell>
          <cell r="H16">
            <v>253174</v>
          </cell>
          <cell r="I16">
            <v>194937</v>
          </cell>
          <cell r="J16">
            <v>187777.8</v>
          </cell>
          <cell r="K16">
            <v>158316</v>
          </cell>
          <cell r="L16">
            <v>190071</v>
          </cell>
          <cell r="M16">
            <v>168875</v>
          </cell>
          <cell r="N16">
            <v>202130</v>
          </cell>
          <cell r="O16">
            <v>266300</v>
          </cell>
          <cell r="P16">
            <v>320369</v>
          </cell>
          <cell r="T16">
            <v>13</v>
          </cell>
          <cell r="U16" t="str">
            <v>Total Deliveries</v>
          </cell>
          <cell r="V16"/>
          <cell r="W16">
            <v>2921963</v>
          </cell>
          <cell r="X16">
            <v>305124</v>
          </cell>
          <cell r="Y16">
            <v>363725</v>
          </cell>
          <cell r="Z16">
            <v>332280</v>
          </cell>
          <cell r="AA16">
            <v>247617</v>
          </cell>
          <cell r="AB16">
            <v>204504</v>
          </cell>
          <cell r="AC16">
            <v>188974</v>
          </cell>
          <cell r="AD16">
            <v>154083</v>
          </cell>
          <cell r="AE16">
            <v>171629</v>
          </cell>
          <cell r="AF16">
            <v>186971</v>
          </cell>
          <cell r="AG16">
            <v>204899</v>
          </cell>
          <cell r="AH16">
            <v>233596</v>
          </cell>
          <cell r="AI16">
            <v>328561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502370</v>
          </cell>
          <cell r="E21">
            <v>104769</v>
          </cell>
          <cell r="F21">
            <v>90583</v>
          </cell>
          <cell r="G21">
            <v>71552</v>
          </cell>
          <cell r="H21">
            <v>58522</v>
          </cell>
          <cell r="I21">
            <v>19131</v>
          </cell>
          <cell r="J21">
            <v>13446</v>
          </cell>
          <cell r="K21">
            <v>9497</v>
          </cell>
          <cell r="L21">
            <v>8783</v>
          </cell>
          <cell r="M21">
            <v>9453</v>
          </cell>
          <cell r="N21">
            <v>10927</v>
          </cell>
          <cell r="O21">
            <v>30218</v>
          </cell>
          <cell r="P21">
            <v>75489</v>
          </cell>
          <cell r="T21">
            <v>18</v>
          </cell>
          <cell r="U21" t="str">
            <v>Residential</v>
          </cell>
          <cell r="W21">
            <v>503128</v>
          </cell>
          <cell r="X21">
            <v>73446</v>
          </cell>
          <cell r="Y21">
            <v>106049</v>
          </cell>
          <cell r="Z21">
            <v>87613</v>
          </cell>
          <cell r="AA21">
            <v>49878</v>
          </cell>
          <cell r="AB21">
            <v>31897</v>
          </cell>
          <cell r="AC21">
            <v>15941</v>
          </cell>
          <cell r="AD21">
            <v>9359</v>
          </cell>
          <cell r="AE21">
            <v>8437</v>
          </cell>
          <cell r="AF21">
            <v>9122</v>
          </cell>
          <cell r="AG21">
            <v>11372</v>
          </cell>
          <cell r="AH21">
            <v>29515</v>
          </cell>
          <cell r="AI21">
            <v>70499</v>
          </cell>
        </row>
        <row r="22">
          <cell r="A22">
            <v>19</v>
          </cell>
          <cell r="B22" t="str">
            <v>Commercial</v>
          </cell>
          <cell r="D22">
            <v>812373</v>
          </cell>
          <cell r="E22">
            <v>127801</v>
          </cell>
          <cell r="F22">
            <v>114589</v>
          </cell>
          <cell r="G22">
            <v>106611</v>
          </cell>
          <cell r="H22">
            <v>72774</v>
          </cell>
          <cell r="I22">
            <v>46083</v>
          </cell>
          <cell r="J22">
            <v>41299</v>
          </cell>
          <cell r="K22">
            <v>33270</v>
          </cell>
          <cell r="L22">
            <v>35264</v>
          </cell>
          <cell r="M22">
            <v>36928</v>
          </cell>
          <cell r="N22">
            <v>42457</v>
          </cell>
          <cell r="O22">
            <v>64971</v>
          </cell>
          <cell r="P22">
            <v>90326</v>
          </cell>
          <cell r="T22">
            <v>19</v>
          </cell>
          <cell r="U22" t="str">
            <v>Commercial</v>
          </cell>
          <cell r="W22">
            <v>848993</v>
          </cell>
          <cell r="X22">
            <v>101078</v>
          </cell>
          <cell r="Y22">
            <v>132736</v>
          </cell>
          <cell r="Z22">
            <v>112289</v>
          </cell>
          <cell r="AA22">
            <v>73561</v>
          </cell>
          <cell r="AB22">
            <v>57636</v>
          </cell>
          <cell r="AC22">
            <v>42850</v>
          </cell>
          <cell r="AD22">
            <v>34712</v>
          </cell>
          <cell r="AE22">
            <v>34391</v>
          </cell>
          <cell r="AF22">
            <v>39054</v>
          </cell>
          <cell r="AG22">
            <v>46828</v>
          </cell>
          <cell r="AH22">
            <v>64538</v>
          </cell>
          <cell r="AI22">
            <v>109320</v>
          </cell>
        </row>
        <row r="23">
          <cell r="A23">
            <v>20</v>
          </cell>
          <cell r="B23" t="str">
            <v xml:space="preserve">Industrial </v>
          </cell>
          <cell r="D23">
            <v>1790526</v>
          </cell>
          <cell r="E23">
            <v>151762</v>
          </cell>
          <cell r="F23">
            <v>141998</v>
          </cell>
          <cell r="G23">
            <v>161188</v>
          </cell>
          <cell r="H23">
            <v>133501</v>
          </cell>
          <cell r="I23">
            <v>138409</v>
          </cell>
          <cell r="J23">
            <v>141944</v>
          </cell>
          <cell r="K23">
            <v>123185</v>
          </cell>
          <cell r="L23">
            <v>154361</v>
          </cell>
          <cell r="M23">
            <v>130426</v>
          </cell>
          <cell r="N23">
            <v>158679</v>
          </cell>
          <cell r="O23">
            <v>184255</v>
          </cell>
          <cell r="P23">
            <v>170818</v>
          </cell>
          <cell r="T23">
            <v>20</v>
          </cell>
          <cell r="U23" t="str">
            <v xml:space="preserve">Industrial </v>
          </cell>
          <cell r="W23">
            <v>1729630</v>
          </cell>
          <cell r="X23">
            <v>148788</v>
          </cell>
          <cell r="Y23">
            <v>145753</v>
          </cell>
          <cell r="Z23">
            <v>150335</v>
          </cell>
          <cell r="AA23">
            <v>138029</v>
          </cell>
          <cell r="AB23">
            <v>125447</v>
          </cell>
          <cell r="AC23">
            <v>140024</v>
          </cell>
          <cell r="AD23">
            <v>118741</v>
          </cell>
          <cell r="AE23">
            <v>138341</v>
          </cell>
          <cell r="AF23">
            <v>148933</v>
          </cell>
          <cell r="AG23">
            <v>157483</v>
          </cell>
          <cell r="AH23">
            <v>151751</v>
          </cell>
          <cell r="AI23">
            <v>166005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3105269</v>
          </cell>
          <cell r="E25">
            <v>384332</v>
          </cell>
          <cell r="F25">
            <v>347170</v>
          </cell>
          <cell r="G25">
            <v>339351</v>
          </cell>
          <cell r="H25">
            <v>264797</v>
          </cell>
          <cell r="I25">
            <v>203623</v>
          </cell>
          <cell r="J25">
            <v>196689</v>
          </cell>
          <cell r="K25">
            <v>165952</v>
          </cell>
          <cell r="L25">
            <v>198408</v>
          </cell>
          <cell r="M25">
            <v>176807</v>
          </cell>
          <cell r="N25">
            <v>212063</v>
          </cell>
          <cell r="O25">
            <v>279444</v>
          </cell>
          <cell r="P25">
            <v>336633</v>
          </cell>
          <cell r="T25">
            <v>22</v>
          </cell>
          <cell r="U25" t="str">
            <v>Total Deliveries</v>
          </cell>
          <cell r="V25"/>
          <cell r="W25">
            <v>3081751</v>
          </cell>
          <cell r="X25">
            <v>323312</v>
          </cell>
          <cell r="Y25">
            <v>384538</v>
          </cell>
          <cell r="Z25">
            <v>350237</v>
          </cell>
          <cell r="AA25">
            <v>261468</v>
          </cell>
          <cell r="AB25">
            <v>214980</v>
          </cell>
          <cell r="AC25">
            <v>198815</v>
          </cell>
          <cell r="AD25">
            <v>162812</v>
          </cell>
          <cell r="AE25">
            <v>181169</v>
          </cell>
          <cell r="AF25">
            <v>197109</v>
          </cell>
          <cell r="AG25">
            <v>215683</v>
          </cell>
          <cell r="AH25">
            <v>245804</v>
          </cell>
          <cell r="AI25">
            <v>345824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13220</v>
          </cell>
          <cell r="F28">
            <v>13306</v>
          </cell>
          <cell r="G28">
            <v>13309</v>
          </cell>
          <cell r="H28">
            <v>13285</v>
          </cell>
          <cell r="I28">
            <v>13113</v>
          </cell>
          <cell r="J28">
            <v>12732</v>
          </cell>
          <cell r="K28">
            <v>12573</v>
          </cell>
          <cell r="L28">
            <v>12579</v>
          </cell>
          <cell r="M28">
            <v>12602</v>
          </cell>
          <cell r="N28">
            <v>12726</v>
          </cell>
          <cell r="O28">
            <v>13063</v>
          </cell>
          <cell r="P28">
            <v>13296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353041</v>
          </cell>
          <cell r="F29">
            <v>379475</v>
          </cell>
          <cell r="G29">
            <v>363052</v>
          </cell>
          <cell r="H29">
            <v>275554</v>
          </cell>
          <cell r="I29">
            <v>211149</v>
          </cell>
          <cell r="J29">
            <v>173079</v>
          </cell>
          <cell r="K29">
            <v>159903</v>
          </cell>
          <cell r="L29">
            <v>162640</v>
          </cell>
          <cell r="M29">
            <v>188410</v>
          </cell>
          <cell r="N29">
            <v>221491</v>
          </cell>
          <cell r="O29">
            <v>238874</v>
          </cell>
          <cell r="P29">
            <v>325169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365397.435</v>
          </cell>
          <cell r="F30">
            <v>392756.62499999994</v>
          </cell>
          <cell r="G30">
            <v>375758.81999999995</v>
          </cell>
          <cell r="H30">
            <v>285198.38999999996</v>
          </cell>
          <cell r="I30">
            <v>218539.215</v>
          </cell>
          <cell r="J30">
            <v>179136.76499999998</v>
          </cell>
          <cell r="K30">
            <v>165499.60499999998</v>
          </cell>
          <cell r="L30">
            <v>168332.4</v>
          </cell>
          <cell r="M30">
            <v>195004.34999999998</v>
          </cell>
          <cell r="N30">
            <v>229243.18499999997</v>
          </cell>
          <cell r="O30">
            <v>247234.58999999997</v>
          </cell>
          <cell r="P30">
            <v>336549.91499999998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11291</v>
          </cell>
          <cell r="F34">
            <v>11313</v>
          </cell>
          <cell r="G34">
            <v>11309</v>
          </cell>
          <cell r="H34">
            <v>11287</v>
          </cell>
          <cell r="I34">
            <v>11241</v>
          </cell>
          <cell r="J34">
            <v>11177</v>
          </cell>
          <cell r="K34">
            <v>11114</v>
          </cell>
          <cell r="L34">
            <v>11065</v>
          </cell>
          <cell r="M34">
            <v>11023</v>
          </cell>
          <cell r="N34">
            <v>10994</v>
          </cell>
          <cell r="O34">
            <v>10985</v>
          </cell>
          <cell r="P34">
            <v>11000</v>
          </cell>
          <cell r="T34">
            <v>31</v>
          </cell>
          <cell r="U34" t="str">
            <v>Residential</v>
          </cell>
          <cell r="V34"/>
          <cell r="W34"/>
          <cell r="X34">
            <v>11226</v>
          </cell>
          <cell r="Y34">
            <v>11285</v>
          </cell>
          <cell r="Z34">
            <v>11302</v>
          </cell>
          <cell r="AA34">
            <v>11304</v>
          </cell>
          <cell r="AB34">
            <v>11273</v>
          </cell>
          <cell r="AC34">
            <v>11226</v>
          </cell>
          <cell r="AD34">
            <v>11171</v>
          </cell>
          <cell r="AE34">
            <v>11121</v>
          </cell>
          <cell r="AF34">
            <v>11075</v>
          </cell>
          <cell r="AG34">
            <v>11042</v>
          </cell>
          <cell r="AH34">
            <v>11027</v>
          </cell>
          <cell r="AI34">
            <v>11035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1876</v>
          </cell>
          <cell r="F35">
            <v>1874</v>
          </cell>
          <cell r="G35">
            <v>1874</v>
          </cell>
          <cell r="H35">
            <v>1874</v>
          </cell>
          <cell r="I35">
            <v>1867</v>
          </cell>
          <cell r="J35">
            <v>1858</v>
          </cell>
          <cell r="K35">
            <v>1852</v>
          </cell>
          <cell r="L35">
            <v>1847</v>
          </cell>
          <cell r="M35">
            <v>1843</v>
          </cell>
          <cell r="N35">
            <v>1840</v>
          </cell>
          <cell r="O35">
            <v>1841</v>
          </cell>
          <cell r="P35">
            <v>1845</v>
          </cell>
          <cell r="T35">
            <v>32</v>
          </cell>
          <cell r="U35" t="str">
            <v>Commercial</v>
          </cell>
          <cell r="V35"/>
          <cell r="W35"/>
          <cell r="X35">
            <v>1851</v>
          </cell>
          <cell r="Y35">
            <v>1856</v>
          </cell>
          <cell r="Z35">
            <v>1859</v>
          </cell>
          <cell r="AA35">
            <v>1856</v>
          </cell>
          <cell r="AB35">
            <v>1850</v>
          </cell>
          <cell r="AC35">
            <v>1844</v>
          </cell>
          <cell r="AD35">
            <v>1840</v>
          </cell>
          <cell r="AE35">
            <v>1834</v>
          </cell>
          <cell r="AF35">
            <v>1829</v>
          </cell>
          <cell r="AG35">
            <v>1825</v>
          </cell>
          <cell r="AH35">
            <v>1824</v>
          </cell>
          <cell r="AI35">
            <v>1827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40</v>
          </cell>
          <cell r="F36">
            <v>40</v>
          </cell>
          <cell r="G36">
            <v>40</v>
          </cell>
          <cell r="H36">
            <v>40</v>
          </cell>
          <cell r="I36">
            <v>40</v>
          </cell>
          <cell r="J36">
            <v>40</v>
          </cell>
          <cell r="K36">
            <v>40</v>
          </cell>
          <cell r="L36">
            <v>40</v>
          </cell>
          <cell r="M36">
            <v>41</v>
          </cell>
          <cell r="N36">
            <v>41</v>
          </cell>
          <cell r="O36">
            <v>41</v>
          </cell>
          <cell r="P36">
            <v>41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38</v>
          </cell>
          <cell r="Y36">
            <v>38</v>
          </cell>
          <cell r="Z36">
            <v>38</v>
          </cell>
          <cell r="AA36">
            <v>38</v>
          </cell>
          <cell r="AB36">
            <v>38</v>
          </cell>
          <cell r="AC36">
            <v>38</v>
          </cell>
          <cell r="AD36">
            <v>39</v>
          </cell>
          <cell r="AE36">
            <v>39</v>
          </cell>
          <cell r="AF36">
            <v>39</v>
          </cell>
          <cell r="AG36">
            <v>39</v>
          </cell>
          <cell r="AH36">
            <v>39</v>
          </cell>
          <cell r="AI36">
            <v>39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13207</v>
          </cell>
          <cell r="F38">
            <v>13227</v>
          </cell>
          <cell r="G38">
            <v>13223</v>
          </cell>
          <cell r="H38">
            <v>13201</v>
          </cell>
          <cell r="I38">
            <v>13148</v>
          </cell>
          <cell r="J38">
            <v>13075</v>
          </cell>
          <cell r="K38">
            <v>13006</v>
          </cell>
          <cell r="L38">
            <v>12952</v>
          </cell>
          <cell r="M38">
            <v>12907</v>
          </cell>
          <cell r="N38">
            <v>12875</v>
          </cell>
          <cell r="O38">
            <v>12867</v>
          </cell>
          <cell r="P38">
            <v>12886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13115</v>
          </cell>
          <cell r="Y38">
            <v>13179</v>
          </cell>
          <cell r="Z38">
            <v>13199</v>
          </cell>
          <cell r="AA38">
            <v>13198</v>
          </cell>
          <cell r="AB38">
            <v>13161</v>
          </cell>
          <cell r="AC38">
            <v>13108</v>
          </cell>
          <cell r="AD38">
            <v>13050</v>
          </cell>
          <cell r="AE38">
            <v>12994</v>
          </cell>
          <cell r="AF38">
            <v>12943</v>
          </cell>
          <cell r="AG38">
            <v>12906</v>
          </cell>
          <cell r="AH38">
            <v>12890</v>
          </cell>
          <cell r="AI38">
            <v>12901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99754</v>
          </cell>
          <cell r="F41">
            <v>186113</v>
          </cell>
          <cell r="G41">
            <v>254382</v>
          </cell>
          <cell r="H41">
            <v>310335</v>
          </cell>
          <cell r="I41">
            <v>328650</v>
          </cell>
          <cell r="J41">
            <v>341486.8</v>
          </cell>
          <cell r="K41">
            <v>350546.8</v>
          </cell>
          <cell r="L41">
            <v>358960.8</v>
          </cell>
          <cell r="M41">
            <v>367989.8</v>
          </cell>
          <cell r="N41">
            <v>378404.8</v>
          </cell>
          <cell r="O41">
            <v>407201.8</v>
          </cell>
          <cell r="P41">
            <v>479043.8</v>
          </cell>
          <cell r="T41">
            <v>38</v>
          </cell>
          <cell r="U41" t="str">
            <v>Residential</v>
          </cell>
          <cell r="W41"/>
          <cell r="X41">
            <v>69314</v>
          </cell>
          <cell r="Y41">
            <v>169623</v>
          </cell>
          <cell r="Z41">
            <v>252744</v>
          </cell>
          <cell r="AA41">
            <v>299980</v>
          </cell>
          <cell r="AB41">
            <v>330323</v>
          </cell>
          <cell r="AC41">
            <v>345475</v>
          </cell>
          <cell r="AD41">
            <v>354332</v>
          </cell>
          <cell r="AE41">
            <v>362325</v>
          </cell>
          <cell r="AF41">
            <v>370978</v>
          </cell>
          <cell r="AG41">
            <v>381781</v>
          </cell>
          <cell r="AH41">
            <v>409830</v>
          </cell>
          <cell r="AI41">
            <v>476810</v>
          </cell>
        </row>
        <row r="42">
          <cell r="A42">
            <v>39</v>
          </cell>
          <cell r="B42" t="str">
            <v>Commercial</v>
          </cell>
          <cell r="D42"/>
          <cell r="E42">
            <v>121684</v>
          </cell>
          <cell r="F42">
            <v>230930</v>
          </cell>
          <cell r="G42">
            <v>332649</v>
          </cell>
          <cell r="H42">
            <v>402229</v>
          </cell>
          <cell r="I42">
            <v>446346</v>
          </cell>
          <cell r="J42">
            <v>485774</v>
          </cell>
          <cell r="K42">
            <v>517513</v>
          </cell>
          <cell r="L42">
            <v>551295</v>
          </cell>
          <cell r="M42">
            <v>586566</v>
          </cell>
          <cell r="N42">
            <v>627034</v>
          </cell>
          <cell r="O42">
            <v>688949</v>
          </cell>
          <cell r="P42">
            <v>774911</v>
          </cell>
          <cell r="T42">
            <v>39</v>
          </cell>
          <cell r="U42" t="str">
            <v>Commercial</v>
          </cell>
          <cell r="W42"/>
          <cell r="X42">
            <v>95392</v>
          </cell>
          <cell r="Y42">
            <v>220944</v>
          </cell>
          <cell r="Z42">
            <v>327476</v>
          </cell>
          <cell r="AA42">
            <v>397140</v>
          </cell>
          <cell r="AB42">
            <v>451967</v>
          </cell>
          <cell r="AC42">
            <v>492696</v>
          </cell>
          <cell r="AD42">
            <v>525547</v>
          </cell>
          <cell r="AE42">
            <v>558127</v>
          </cell>
          <cell r="AF42">
            <v>595172</v>
          </cell>
          <cell r="AG42">
            <v>639659</v>
          </cell>
          <cell r="AH42">
            <v>700992</v>
          </cell>
          <cell r="AI42">
            <v>804855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144498</v>
          </cell>
          <cell r="F43">
            <v>279875</v>
          </cell>
          <cell r="G43">
            <v>433667</v>
          </cell>
          <cell r="H43">
            <v>561308</v>
          </cell>
          <cell r="I43">
            <v>693813</v>
          </cell>
          <cell r="J43">
            <v>829326</v>
          </cell>
          <cell r="K43">
            <v>946843</v>
          </cell>
          <cell r="L43">
            <v>1094718</v>
          </cell>
          <cell r="M43">
            <v>1219293</v>
          </cell>
          <cell r="N43">
            <v>1370540</v>
          </cell>
          <cell r="O43">
            <v>1546128</v>
          </cell>
          <cell r="P43">
            <v>1708693</v>
          </cell>
          <cell r="T43">
            <v>40</v>
          </cell>
          <cell r="U43" t="str">
            <v xml:space="preserve">Industrial </v>
          </cell>
          <cell r="W43"/>
          <cell r="X43">
            <v>140418</v>
          </cell>
          <cell r="Y43">
            <v>278282</v>
          </cell>
          <cell r="Z43">
            <v>420909</v>
          </cell>
          <cell r="AA43">
            <v>551626</v>
          </cell>
          <cell r="AB43">
            <v>670960</v>
          </cell>
          <cell r="AC43">
            <v>804053</v>
          </cell>
          <cell r="AD43">
            <v>916428</v>
          </cell>
          <cell r="AE43">
            <v>1047484</v>
          </cell>
          <cell r="AF43">
            <v>1188757</v>
          </cell>
          <cell r="AG43">
            <v>1338366</v>
          </cell>
          <cell r="AH43">
            <v>1482580</v>
          </cell>
          <cell r="AI43">
            <v>1640298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365936</v>
          </cell>
          <cell r="F45">
            <v>696918</v>
          </cell>
          <cell r="G45">
            <v>1020698</v>
          </cell>
          <cell r="H45">
            <v>1273872</v>
          </cell>
          <cell r="I45">
            <v>1468809</v>
          </cell>
          <cell r="J45">
            <v>1656586.8</v>
          </cell>
          <cell r="K45">
            <v>1814902.8</v>
          </cell>
          <cell r="L45">
            <v>2004973.8</v>
          </cell>
          <cell r="M45">
            <v>2173848.7999999998</v>
          </cell>
          <cell r="N45">
            <v>2375978.7999999998</v>
          </cell>
          <cell r="O45">
            <v>2642278.7999999998</v>
          </cell>
          <cell r="P45">
            <v>2962647.8</v>
          </cell>
          <cell r="T45">
            <v>42</v>
          </cell>
          <cell r="U45" t="str">
            <v>Total Volume</v>
          </cell>
          <cell r="V45"/>
          <cell r="W45"/>
          <cell r="X45">
            <v>305124</v>
          </cell>
          <cell r="Y45">
            <v>668849</v>
          </cell>
          <cell r="Z45">
            <v>1001129</v>
          </cell>
          <cell r="AA45">
            <v>1248746</v>
          </cell>
          <cell r="AB45">
            <v>1453250</v>
          </cell>
          <cell r="AC45">
            <v>1642224</v>
          </cell>
          <cell r="AD45">
            <v>1796307</v>
          </cell>
          <cell r="AE45">
            <v>1967936</v>
          </cell>
          <cell r="AF45">
            <v>2154907</v>
          </cell>
          <cell r="AG45">
            <v>2359806</v>
          </cell>
          <cell r="AH45">
            <v>2593402</v>
          </cell>
          <cell r="AI45">
            <v>2921963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104769</v>
          </cell>
          <cell r="F48">
            <v>195352</v>
          </cell>
          <cell r="G48">
            <v>266904</v>
          </cell>
          <cell r="H48">
            <v>325426</v>
          </cell>
          <cell r="I48">
            <v>344557</v>
          </cell>
          <cell r="J48">
            <v>358003</v>
          </cell>
          <cell r="K48">
            <v>367500</v>
          </cell>
          <cell r="L48">
            <v>376283</v>
          </cell>
          <cell r="M48">
            <v>385736</v>
          </cell>
          <cell r="N48">
            <v>396663</v>
          </cell>
          <cell r="O48">
            <v>426881</v>
          </cell>
          <cell r="P48">
            <v>502370</v>
          </cell>
          <cell r="T48">
            <v>45</v>
          </cell>
          <cell r="U48" t="str">
            <v>Residential</v>
          </cell>
          <cell r="W48"/>
          <cell r="X48">
            <v>73446</v>
          </cell>
          <cell r="Y48">
            <v>179495</v>
          </cell>
          <cell r="Z48">
            <v>267108</v>
          </cell>
          <cell r="AA48">
            <v>316986</v>
          </cell>
          <cell r="AB48">
            <v>348883</v>
          </cell>
          <cell r="AC48">
            <v>364824</v>
          </cell>
          <cell r="AD48">
            <v>374183</v>
          </cell>
          <cell r="AE48">
            <v>382620</v>
          </cell>
          <cell r="AF48">
            <v>391742</v>
          </cell>
          <cell r="AG48">
            <v>403114</v>
          </cell>
          <cell r="AH48">
            <v>432629</v>
          </cell>
          <cell r="AI48">
            <v>503128</v>
          </cell>
        </row>
        <row r="49">
          <cell r="A49">
            <v>46</v>
          </cell>
          <cell r="B49" t="str">
            <v>Commercial</v>
          </cell>
          <cell r="D49"/>
          <cell r="E49">
            <v>127801</v>
          </cell>
          <cell r="F49">
            <v>242390</v>
          </cell>
          <cell r="G49">
            <v>349001</v>
          </cell>
          <cell r="H49">
            <v>421775</v>
          </cell>
          <cell r="I49">
            <v>467858</v>
          </cell>
          <cell r="J49">
            <v>509157</v>
          </cell>
          <cell r="K49">
            <v>542427</v>
          </cell>
          <cell r="L49">
            <v>577691</v>
          </cell>
          <cell r="M49">
            <v>614619</v>
          </cell>
          <cell r="N49">
            <v>657076</v>
          </cell>
          <cell r="O49">
            <v>722047</v>
          </cell>
          <cell r="P49">
            <v>812373</v>
          </cell>
          <cell r="T49">
            <v>46</v>
          </cell>
          <cell r="U49" t="str">
            <v>Commercial</v>
          </cell>
          <cell r="W49"/>
          <cell r="X49">
            <v>101078</v>
          </cell>
          <cell r="Y49">
            <v>233814</v>
          </cell>
          <cell r="Z49">
            <v>346103</v>
          </cell>
          <cell r="AA49">
            <v>419664</v>
          </cell>
          <cell r="AB49">
            <v>477300</v>
          </cell>
          <cell r="AC49">
            <v>520150</v>
          </cell>
          <cell r="AD49">
            <v>554862</v>
          </cell>
          <cell r="AE49">
            <v>589253</v>
          </cell>
          <cell r="AF49">
            <v>628307</v>
          </cell>
          <cell r="AG49">
            <v>675135</v>
          </cell>
          <cell r="AH49">
            <v>739673</v>
          </cell>
          <cell r="AI49">
            <v>848993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151762</v>
          </cell>
          <cell r="F50">
            <v>293760</v>
          </cell>
          <cell r="G50">
            <v>454948</v>
          </cell>
          <cell r="H50">
            <v>588449</v>
          </cell>
          <cell r="I50">
            <v>726858</v>
          </cell>
          <cell r="J50">
            <v>868802</v>
          </cell>
          <cell r="K50">
            <v>991987</v>
          </cell>
          <cell r="L50">
            <v>1146348</v>
          </cell>
          <cell r="M50">
            <v>1276774</v>
          </cell>
          <cell r="N50">
            <v>1435453</v>
          </cell>
          <cell r="O50">
            <v>1619708</v>
          </cell>
          <cell r="P50">
            <v>1790526</v>
          </cell>
          <cell r="T50">
            <v>47</v>
          </cell>
          <cell r="U50" t="str">
            <v xml:space="preserve">Industrial </v>
          </cell>
          <cell r="W50"/>
          <cell r="X50">
            <v>148788</v>
          </cell>
          <cell r="Y50">
            <v>294541</v>
          </cell>
          <cell r="Z50">
            <v>444876</v>
          </cell>
          <cell r="AA50">
            <v>582905</v>
          </cell>
          <cell r="AB50">
            <v>708352</v>
          </cell>
          <cell r="AC50">
            <v>848376</v>
          </cell>
          <cell r="AD50">
            <v>967117</v>
          </cell>
          <cell r="AE50">
            <v>1105458</v>
          </cell>
          <cell r="AF50">
            <v>1254391</v>
          </cell>
          <cell r="AG50">
            <v>1411874</v>
          </cell>
          <cell r="AH50">
            <v>1563625</v>
          </cell>
          <cell r="AI50">
            <v>1729630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384332</v>
          </cell>
          <cell r="F52">
            <v>731502</v>
          </cell>
          <cell r="G52">
            <v>1070853</v>
          </cell>
          <cell r="H52">
            <v>1335650</v>
          </cell>
          <cell r="I52">
            <v>1539273</v>
          </cell>
          <cell r="J52">
            <v>1735962</v>
          </cell>
          <cell r="K52">
            <v>1901914</v>
          </cell>
          <cell r="L52">
            <v>2100322</v>
          </cell>
          <cell r="M52">
            <v>2277129</v>
          </cell>
          <cell r="N52">
            <v>2489192</v>
          </cell>
          <cell r="O52">
            <v>2768636</v>
          </cell>
          <cell r="P52">
            <v>3105269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323312</v>
          </cell>
          <cell r="Y52">
            <v>707850</v>
          </cell>
          <cell r="Z52">
            <v>1058087</v>
          </cell>
          <cell r="AA52">
            <v>1319555</v>
          </cell>
          <cell r="AB52">
            <v>1534535</v>
          </cell>
          <cell r="AC52">
            <v>1733350</v>
          </cell>
          <cell r="AD52">
            <v>1896162</v>
          </cell>
          <cell r="AE52">
            <v>2077331</v>
          </cell>
          <cell r="AF52">
            <v>2274440</v>
          </cell>
          <cell r="AG52">
            <v>2490123</v>
          </cell>
          <cell r="AH52">
            <v>2735927</v>
          </cell>
          <cell r="AI52">
            <v>3081751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13220</v>
          </cell>
          <cell r="F55">
            <v>13263</v>
          </cell>
          <cell r="G55">
            <v>13278</v>
          </cell>
          <cell r="H55">
            <v>13280</v>
          </cell>
          <cell r="I55">
            <v>13247</v>
          </cell>
          <cell r="J55">
            <v>13161</v>
          </cell>
          <cell r="K55">
            <v>13077</v>
          </cell>
          <cell r="L55">
            <v>13015</v>
          </cell>
          <cell r="M55">
            <v>12969</v>
          </cell>
          <cell r="N55">
            <v>12945</v>
          </cell>
          <cell r="O55">
            <v>12955</v>
          </cell>
          <cell r="P55">
            <v>12984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353041</v>
          </cell>
          <cell r="F56">
            <v>732516</v>
          </cell>
          <cell r="G56">
            <v>1095568</v>
          </cell>
          <cell r="H56">
            <v>1371122</v>
          </cell>
          <cell r="I56">
            <v>1582271</v>
          </cell>
          <cell r="J56">
            <v>1755350</v>
          </cell>
          <cell r="K56">
            <v>1915253</v>
          </cell>
          <cell r="L56">
            <v>2077893</v>
          </cell>
          <cell r="M56">
            <v>2266303</v>
          </cell>
          <cell r="N56">
            <v>2487794</v>
          </cell>
          <cell r="O56">
            <v>2726668</v>
          </cell>
          <cell r="P56">
            <v>3051837</v>
          </cell>
        </row>
        <row r="57">
          <cell r="A57">
            <v>54</v>
          </cell>
          <cell r="B57" t="str">
            <v>Cumulative YTD Budget Volume (Dts) * 1.035</v>
          </cell>
          <cell r="E57">
            <v>365397.435</v>
          </cell>
          <cell r="F57">
            <v>758154.05999999994</v>
          </cell>
          <cell r="G57">
            <v>1133912.8799999999</v>
          </cell>
          <cell r="H57">
            <v>1419111.2699999998</v>
          </cell>
          <cell r="I57">
            <v>1637650.4849999999</v>
          </cell>
          <cell r="J57">
            <v>1816787.2499999998</v>
          </cell>
          <cell r="K57">
            <v>1982286.8549999997</v>
          </cell>
          <cell r="L57">
            <v>2150619.2549999999</v>
          </cell>
          <cell r="M57">
            <v>2345623.605</v>
          </cell>
          <cell r="N57">
            <v>2574866.79</v>
          </cell>
          <cell r="O57">
            <v>2822101.38</v>
          </cell>
          <cell r="P57">
            <v>3158651.2949999999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15795.666666666666</v>
          </cell>
          <cell r="E5">
            <v>15604</v>
          </cell>
          <cell r="F5">
            <v>15643</v>
          </cell>
          <cell r="G5">
            <v>15742</v>
          </cell>
          <cell r="H5">
            <v>15826</v>
          </cell>
          <cell r="I5">
            <v>15732</v>
          </cell>
          <cell r="J5">
            <v>15753</v>
          </cell>
          <cell r="K5">
            <v>15740</v>
          </cell>
          <cell r="L5">
            <v>15769</v>
          </cell>
          <cell r="M5">
            <v>15838</v>
          </cell>
          <cell r="N5">
            <v>15865</v>
          </cell>
          <cell r="O5">
            <v>15984</v>
          </cell>
          <cell r="P5">
            <v>16052</v>
          </cell>
          <cell r="T5">
            <v>2</v>
          </cell>
          <cell r="U5" t="str">
            <v>Residential</v>
          </cell>
          <cell r="V5">
            <v>15340</v>
          </cell>
          <cell r="W5">
            <v>184082</v>
          </cell>
          <cell r="X5">
            <v>15167</v>
          </cell>
          <cell r="Y5">
            <v>15242</v>
          </cell>
          <cell r="Z5">
            <v>15317</v>
          </cell>
          <cell r="AA5">
            <v>15377</v>
          </cell>
          <cell r="AB5">
            <v>15338</v>
          </cell>
          <cell r="AC5">
            <v>15270</v>
          </cell>
          <cell r="AD5">
            <v>15270</v>
          </cell>
          <cell r="AE5">
            <v>15406</v>
          </cell>
          <cell r="AF5">
            <v>15336</v>
          </cell>
          <cell r="AG5">
            <v>15377</v>
          </cell>
          <cell r="AH5">
            <v>15435</v>
          </cell>
          <cell r="AI5">
            <v>15547</v>
          </cell>
        </row>
        <row r="6">
          <cell r="A6">
            <v>3</v>
          </cell>
          <cell r="B6" t="str">
            <v>Commercial</v>
          </cell>
          <cell r="C6"/>
          <cell r="D6">
            <v>1421.1666666666667</v>
          </cell>
          <cell r="E6">
            <v>1403</v>
          </cell>
          <cell r="F6">
            <v>1411</v>
          </cell>
          <cell r="G6">
            <v>1405</v>
          </cell>
          <cell r="H6">
            <v>1411</v>
          </cell>
          <cell r="I6">
            <v>1426</v>
          </cell>
          <cell r="J6">
            <v>1417</v>
          </cell>
          <cell r="K6">
            <v>1416</v>
          </cell>
          <cell r="L6">
            <v>1428</v>
          </cell>
          <cell r="M6">
            <v>1432</v>
          </cell>
          <cell r="N6">
            <v>1430</v>
          </cell>
          <cell r="O6">
            <v>1439</v>
          </cell>
          <cell r="P6">
            <v>1436</v>
          </cell>
          <cell r="T6">
            <v>3</v>
          </cell>
          <cell r="U6" t="str">
            <v>Commercial</v>
          </cell>
          <cell r="V6">
            <v>1393</v>
          </cell>
          <cell r="W6">
            <v>16721</v>
          </cell>
          <cell r="X6">
            <v>1381</v>
          </cell>
          <cell r="Y6">
            <v>1377</v>
          </cell>
          <cell r="Z6">
            <v>1377</v>
          </cell>
          <cell r="AA6">
            <v>1381</v>
          </cell>
          <cell r="AB6">
            <v>1388</v>
          </cell>
          <cell r="AC6">
            <v>1394</v>
          </cell>
          <cell r="AD6">
            <v>1389</v>
          </cell>
          <cell r="AE6">
            <v>1434</v>
          </cell>
          <cell r="AF6">
            <v>1402</v>
          </cell>
          <cell r="AG6">
            <v>1398</v>
          </cell>
          <cell r="AH6">
            <v>1399</v>
          </cell>
          <cell r="AI6">
            <v>1401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78.833333333333329</v>
          </cell>
          <cell r="E7">
            <v>77</v>
          </cell>
          <cell r="F7">
            <v>77</v>
          </cell>
          <cell r="G7">
            <v>78</v>
          </cell>
          <cell r="H7">
            <v>80</v>
          </cell>
          <cell r="I7">
            <v>81</v>
          </cell>
          <cell r="J7">
            <v>80</v>
          </cell>
          <cell r="K7">
            <v>78</v>
          </cell>
          <cell r="L7">
            <v>76</v>
          </cell>
          <cell r="M7">
            <v>79</v>
          </cell>
          <cell r="N7">
            <v>79</v>
          </cell>
          <cell r="O7">
            <v>80</v>
          </cell>
          <cell r="P7">
            <v>81</v>
          </cell>
          <cell r="T7">
            <v>4</v>
          </cell>
          <cell r="U7" t="str">
            <v xml:space="preserve">Industrial </v>
          </cell>
          <cell r="V7">
            <v>73</v>
          </cell>
          <cell r="W7">
            <v>870</v>
          </cell>
          <cell r="X7">
            <v>72</v>
          </cell>
          <cell r="Y7">
            <v>71</v>
          </cell>
          <cell r="Z7">
            <v>72</v>
          </cell>
          <cell r="AA7">
            <v>72</v>
          </cell>
          <cell r="AB7">
            <v>71</v>
          </cell>
          <cell r="AC7">
            <v>72</v>
          </cell>
          <cell r="AD7">
            <v>72</v>
          </cell>
          <cell r="AE7">
            <v>77</v>
          </cell>
          <cell r="AF7">
            <v>72</v>
          </cell>
          <cell r="AG7">
            <v>71</v>
          </cell>
          <cell r="AH7">
            <v>72</v>
          </cell>
          <cell r="AI7">
            <v>76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17295.666666666664</v>
          </cell>
          <cell r="E9">
            <v>17084</v>
          </cell>
          <cell r="F9">
            <v>17131</v>
          </cell>
          <cell r="G9">
            <v>17225</v>
          </cell>
          <cell r="H9">
            <v>17317</v>
          </cell>
          <cell r="I9">
            <v>17239</v>
          </cell>
          <cell r="J9">
            <v>17250</v>
          </cell>
          <cell r="K9">
            <v>17234</v>
          </cell>
          <cell r="L9">
            <v>17273</v>
          </cell>
          <cell r="M9">
            <v>17349</v>
          </cell>
          <cell r="N9">
            <v>17374</v>
          </cell>
          <cell r="O9">
            <v>17503</v>
          </cell>
          <cell r="P9">
            <v>17569</v>
          </cell>
          <cell r="T9">
            <v>6</v>
          </cell>
          <cell r="U9" t="str">
            <v>Total customers</v>
          </cell>
          <cell r="V9">
            <v>16806</v>
          </cell>
          <cell r="W9">
            <v>201673</v>
          </cell>
          <cell r="X9">
            <v>16620</v>
          </cell>
          <cell r="Y9">
            <v>16690</v>
          </cell>
          <cell r="Z9">
            <v>16766</v>
          </cell>
          <cell r="AA9">
            <v>16830</v>
          </cell>
          <cell r="AB9">
            <v>16797</v>
          </cell>
          <cell r="AC9">
            <v>16736</v>
          </cell>
          <cell r="AD9">
            <v>16731</v>
          </cell>
          <cell r="AE9">
            <v>16917</v>
          </cell>
          <cell r="AF9">
            <v>16810</v>
          </cell>
          <cell r="AG9">
            <v>16846</v>
          </cell>
          <cell r="AH9">
            <v>16906</v>
          </cell>
          <cell r="AI9">
            <v>17024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329246.37257766095</v>
          </cell>
          <cell r="E12">
            <v>41014.31492842536</v>
          </cell>
          <cell r="F12">
            <v>36466.744571039046</v>
          </cell>
          <cell r="G12">
            <v>42267.796280066221</v>
          </cell>
          <cell r="H12">
            <v>34340.636868244226</v>
          </cell>
          <cell r="I12">
            <v>20836.108676599473</v>
          </cell>
          <cell r="J12">
            <v>18842.827928717499</v>
          </cell>
          <cell r="K12">
            <v>17115.882753919563</v>
          </cell>
          <cell r="L12">
            <v>15449.897750511247</v>
          </cell>
          <cell r="M12">
            <v>18978.284156198268</v>
          </cell>
          <cell r="N12">
            <v>18197.000681663259</v>
          </cell>
          <cell r="O12">
            <v>30811.374038367903</v>
          </cell>
          <cell r="P12">
            <v>34925.50394390885</v>
          </cell>
          <cell r="T12">
            <v>9</v>
          </cell>
          <cell r="U12" t="str">
            <v>Residential</v>
          </cell>
          <cell r="W12">
            <v>333664.98977505136</v>
          </cell>
          <cell r="X12">
            <v>44786.63940013633</v>
          </cell>
          <cell r="Y12">
            <v>48583.01684682053</v>
          </cell>
          <cell r="Z12">
            <v>41474.924530139251</v>
          </cell>
          <cell r="AA12">
            <v>33215.989872431586</v>
          </cell>
          <cell r="AB12">
            <v>21696.854610965042</v>
          </cell>
          <cell r="AC12">
            <v>17788.100107118513</v>
          </cell>
          <cell r="AD12">
            <v>15159.801343850424</v>
          </cell>
          <cell r="AE12">
            <v>14602.103418054337</v>
          </cell>
          <cell r="AF12">
            <v>16272.957444736585</v>
          </cell>
          <cell r="AG12">
            <v>19910.291167592073</v>
          </cell>
          <cell r="AH12">
            <v>26877.690135358847</v>
          </cell>
          <cell r="AI12">
            <v>33296.62089784789</v>
          </cell>
        </row>
        <row r="13">
          <cell r="A13">
            <v>10</v>
          </cell>
          <cell r="B13" t="str">
            <v>Commercial</v>
          </cell>
          <cell r="D13">
            <v>4993366.0531697348</v>
          </cell>
          <cell r="E13">
            <v>493630.34375304315</v>
          </cell>
          <cell r="F13">
            <v>458855.58476969518</v>
          </cell>
          <cell r="G13">
            <v>472069.04275002435</v>
          </cell>
          <cell r="H13">
            <v>448234.20001947606</v>
          </cell>
          <cell r="I13">
            <v>435075.85938260786</v>
          </cell>
          <cell r="J13">
            <v>416146.7523614763</v>
          </cell>
          <cell r="K13">
            <v>447703.2817216866</v>
          </cell>
          <cell r="L13">
            <v>422174.21365274128</v>
          </cell>
          <cell r="M13">
            <v>273010.0301879443</v>
          </cell>
          <cell r="N13">
            <v>366608.14100691403</v>
          </cell>
          <cell r="O13">
            <v>366049.07975460123</v>
          </cell>
          <cell r="P13">
            <v>393809.52380952379</v>
          </cell>
          <cell r="T13">
            <v>10</v>
          </cell>
          <cell r="U13" t="str">
            <v>Commercial</v>
          </cell>
          <cell r="W13">
            <v>5886173.3976044413</v>
          </cell>
          <cell r="X13">
            <v>477194.66355049179</v>
          </cell>
          <cell r="Y13">
            <v>459042.06836108677</v>
          </cell>
          <cell r="Z13">
            <v>473586.13302171585</v>
          </cell>
          <cell r="AA13">
            <v>468207.22563053848</v>
          </cell>
          <cell r="AB13">
            <v>437356.60726458271</v>
          </cell>
          <cell r="AC13">
            <v>415324.86123283667</v>
          </cell>
          <cell r="AD13">
            <v>404361.76842925308</v>
          </cell>
          <cell r="AE13">
            <v>442360.21034180542</v>
          </cell>
          <cell r="AF13">
            <v>432821.50160677766</v>
          </cell>
          <cell r="AG13">
            <v>450033.36449508229</v>
          </cell>
          <cell r="AH13">
            <v>457472.58739896776</v>
          </cell>
          <cell r="AI13">
            <v>968412.40627130191</v>
          </cell>
        </row>
        <row r="14">
          <cell r="A14">
            <v>11</v>
          </cell>
          <cell r="B14" t="str">
            <v xml:space="preserve">Industrial </v>
          </cell>
          <cell r="D14">
            <v>11244275.878858702</v>
          </cell>
          <cell r="E14">
            <v>1146762.8785665596</v>
          </cell>
          <cell r="F14">
            <v>940021.61846333626</v>
          </cell>
          <cell r="G14">
            <v>1085242.9642613691</v>
          </cell>
          <cell r="H14">
            <v>869717.30450871552</v>
          </cell>
          <cell r="I14">
            <v>1077275.8788587009</v>
          </cell>
          <cell r="J14">
            <v>839270.71769403061</v>
          </cell>
          <cell r="K14">
            <v>882172.46080436266</v>
          </cell>
          <cell r="L14">
            <v>841585.15921706101</v>
          </cell>
          <cell r="M14">
            <v>604164.5729866589</v>
          </cell>
          <cell r="N14">
            <v>947170.31843412213</v>
          </cell>
          <cell r="O14">
            <v>905382.31570746913</v>
          </cell>
          <cell r="P14">
            <v>1105509.6893563152</v>
          </cell>
          <cell r="T14">
            <v>11</v>
          </cell>
          <cell r="U14" t="str">
            <v xml:space="preserve">Industrial </v>
          </cell>
          <cell r="W14">
            <v>10717532.314369461</v>
          </cell>
          <cell r="X14">
            <v>1095256.6949070017</v>
          </cell>
          <cell r="Y14">
            <v>994717.79141104291</v>
          </cell>
          <cell r="Z14">
            <v>1117554.6791313663</v>
          </cell>
          <cell r="AA14">
            <v>957915.76589736098</v>
          </cell>
          <cell r="AB14">
            <v>1031289.0252215406</v>
          </cell>
          <cell r="AC14">
            <v>735340.44210731331</v>
          </cell>
          <cell r="AD14">
            <v>700236.63453111309</v>
          </cell>
          <cell r="AE14">
            <v>892407.05034570058</v>
          </cell>
          <cell r="AF14">
            <v>660522.05667543085</v>
          </cell>
          <cell r="AG14">
            <v>1023739.54</v>
          </cell>
          <cell r="AH14">
            <v>890485.44162041089</v>
          </cell>
          <cell r="AI14">
            <v>618067.19252118026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16566888.304606099</v>
          </cell>
          <cell r="E16">
            <v>1681407.5372480282</v>
          </cell>
          <cell r="F16">
            <v>1435343.9478040705</v>
          </cell>
          <cell r="G16">
            <v>1599579.8032914596</v>
          </cell>
          <cell r="H16">
            <v>1352292.1413964359</v>
          </cell>
          <cell r="I16">
            <v>1533187.8469179082</v>
          </cell>
          <cell r="J16">
            <v>1274260.2979842243</v>
          </cell>
          <cell r="K16">
            <v>1346991.6252799688</v>
          </cell>
          <cell r="L16">
            <v>1279209.2706203135</v>
          </cell>
          <cell r="M16">
            <v>896152.88733080146</v>
          </cell>
          <cell r="N16">
            <v>1331975.4601226994</v>
          </cell>
          <cell r="O16">
            <v>1302242.7695004381</v>
          </cell>
          <cell r="P16">
            <v>1534244.7171097477</v>
          </cell>
          <cell r="T16">
            <v>13</v>
          </cell>
          <cell r="U16" t="str">
            <v>Total Deliveries</v>
          </cell>
          <cell r="V16"/>
          <cell r="W16">
            <v>16937370.701748952</v>
          </cell>
          <cell r="X16">
            <v>1617237.9978576298</v>
          </cell>
          <cell r="Y16">
            <v>1502342.8766189502</v>
          </cell>
          <cell r="Z16">
            <v>1632615.7366832215</v>
          </cell>
          <cell r="AA16">
            <v>1459338.981400331</v>
          </cell>
          <cell r="AB16">
            <v>1490342.4870970882</v>
          </cell>
          <cell r="AC16">
            <v>1168453.4034472685</v>
          </cell>
          <cell r="AD16">
            <v>1119758.2043042167</v>
          </cell>
          <cell r="AE16">
            <v>1349369.3641055604</v>
          </cell>
          <cell r="AF16">
            <v>1109616.5157269451</v>
          </cell>
          <cell r="AG16">
            <v>1493683.1956626745</v>
          </cell>
          <cell r="AH16">
            <v>1374835.7191547374</v>
          </cell>
          <cell r="AI16">
            <v>1619776.2196903301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338105</v>
          </cell>
          <cell r="E21">
            <v>42118</v>
          </cell>
          <cell r="F21">
            <v>37448</v>
          </cell>
          <cell r="G21">
            <v>43405</v>
          </cell>
          <cell r="H21">
            <v>35264</v>
          </cell>
          <cell r="I21">
            <v>21397</v>
          </cell>
          <cell r="J21">
            <v>19350</v>
          </cell>
          <cell r="K21">
            <v>17576</v>
          </cell>
          <cell r="L21">
            <v>15866</v>
          </cell>
          <cell r="M21">
            <v>19489</v>
          </cell>
          <cell r="N21">
            <v>18687</v>
          </cell>
          <cell r="O21">
            <v>31640</v>
          </cell>
          <cell r="P21">
            <v>35865</v>
          </cell>
          <cell r="T21">
            <v>18</v>
          </cell>
          <cell r="U21" t="str">
            <v>Residential</v>
          </cell>
          <cell r="W21">
            <v>342643</v>
          </cell>
          <cell r="X21">
            <v>45991</v>
          </cell>
          <cell r="Y21">
            <v>49890</v>
          </cell>
          <cell r="Z21">
            <v>42591</v>
          </cell>
          <cell r="AA21">
            <v>34110</v>
          </cell>
          <cell r="AB21">
            <v>22281</v>
          </cell>
          <cell r="AC21">
            <v>18267</v>
          </cell>
          <cell r="AD21">
            <v>15568</v>
          </cell>
          <cell r="AE21">
            <v>14995</v>
          </cell>
          <cell r="AF21">
            <v>16711</v>
          </cell>
          <cell r="AG21">
            <v>20446</v>
          </cell>
          <cell r="AH21">
            <v>27601</v>
          </cell>
          <cell r="AI21">
            <v>34192</v>
          </cell>
        </row>
        <row r="22">
          <cell r="A22">
            <v>19</v>
          </cell>
          <cell r="B22" t="str">
            <v>Commercial</v>
          </cell>
          <cell r="D22">
            <v>5127689</v>
          </cell>
          <cell r="E22">
            <v>506909</v>
          </cell>
          <cell r="F22">
            <v>471199</v>
          </cell>
          <cell r="G22">
            <v>484768</v>
          </cell>
          <cell r="H22">
            <v>460292</v>
          </cell>
          <cell r="I22">
            <v>446779</v>
          </cell>
          <cell r="J22">
            <v>427341</v>
          </cell>
          <cell r="K22">
            <v>459747</v>
          </cell>
          <cell r="L22">
            <v>433531</v>
          </cell>
          <cell r="M22">
            <v>280354</v>
          </cell>
          <cell r="N22">
            <v>376470</v>
          </cell>
          <cell r="O22">
            <v>375896</v>
          </cell>
          <cell r="P22">
            <v>404403</v>
          </cell>
          <cell r="T22">
            <v>19</v>
          </cell>
          <cell r="U22" t="str">
            <v>Commercial</v>
          </cell>
          <cell r="W22">
            <v>6044512</v>
          </cell>
          <cell r="X22">
            <v>490031</v>
          </cell>
          <cell r="Y22">
            <v>471390</v>
          </cell>
          <cell r="Z22">
            <v>486326</v>
          </cell>
          <cell r="AA22">
            <v>480802</v>
          </cell>
          <cell r="AB22">
            <v>449122</v>
          </cell>
          <cell r="AC22">
            <v>426497</v>
          </cell>
          <cell r="AD22">
            <v>415239</v>
          </cell>
          <cell r="AE22">
            <v>454260</v>
          </cell>
          <cell r="AF22">
            <v>444464</v>
          </cell>
          <cell r="AG22">
            <v>462139</v>
          </cell>
          <cell r="AH22">
            <v>469779</v>
          </cell>
          <cell r="AI22">
            <v>994463</v>
          </cell>
        </row>
        <row r="23">
          <cell r="A23">
            <v>20</v>
          </cell>
          <cell r="B23" t="str">
            <v xml:space="preserve">Industrial </v>
          </cell>
          <cell r="D23">
            <v>11546748</v>
          </cell>
          <cell r="E23">
            <v>1177611</v>
          </cell>
          <cell r="F23">
            <v>965308</v>
          </cell>
          <cell r="G23">
            <v>1114436</v>
          </cell>
          <cell r="H23">
            <v>893113</v>
          </cell>
          <cell r="I23">
            <v>1106255</v>
          </cell>
          <cell r="J23">
            <v>861847</v>
          </cell>
          <cell r="K23">
            <v>905903</v>
          </cell>
          <cell r="L23">
            <v>864224</v>
          </cell>
          <cell r="M23">
            <v>620417</v>
          </cell>
          <cell r="N23">
            <v>972649</v>
          </cell>
          <cell r="O23">
            <v>929737</v>
          </cell>
          <cell r="P23">
            <v>1135248</v>
          </cell>
          <cell r="T23">
            <v>20</v>
          </cell>
          <cell r="U23" t="str">
            <v xml:space="preserve">Industrial </v>
          </cell>
          <cell r="W23">
            <v>11005835</v>
          </cell>
          <cell r="X23">
            <v>1124719</v>
          </cell>
          <cell r="Y23">
            <v>1021476</v>
          </cell>
          <cell r="Z23">
            <v>1147617</v>
          </cell>
          <cell r="AA23">
            <v>983684</v>
          </cell>
          <cell r="AB23">
            <v>1059031</v>
          </cell>
          <cell r="AC23">
            <v>755121</v>
          </cell>
          <cell r="AD23">
            <v>719073</v>
          </cell>
          <cell r="AE23">
            <v>916413</v>
          </cell>
          <cell r="AF23">
            <v>678290</v>
          </cell>
          <cell r="AG23">
            <v>1051278</v>
          </cell>
          <cell r="AH23">
            <v>914440</v>
          </cell>
          <cell r="AI23">
            <v>634693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17012542</v>
          </cell>
          <cell r="E25">
            <v>1726638</v>
          </cell>
          <cell r="F25">
            <v>1473955</v>
          </cell>
          <cell r="G25">
            <v>1642609</v>
          </cell>
          <cell r="H25">
            <v>1388669</v>
          </cell>
          <cell r="I25">
            <v>1574431</v>
          </cell>
          <cell r="J25">
            <v>1308538</v>
          </cell>
          <cell r="K25">
            <v>1383226</v>
          </cell>
          <cell r="L25">
            <v>1313621</v>
          </cell>
          <cell r="M25">
            <v>920260</v>
          </cell>
          <cell r="N25">
            <v>1367806</v>
          </cell>
          <cell r="O25">
            <v>1337273</v>
          </cell>
          <cell r="P25">
            <v>1575516</v>
          </cell>
          <cell r="T25">
            <v>22</v>
          </cell>
          <cell r="U25" t="str">
            <v>Total Deliveries</v>
          </cell>
          <cell r="V25"/>
          <cell r="W25">
            <v>17392990</v>
          </cell>
          <cell r="X25">
            <v>1660741</v>
          </cell>
          <cell r="Y25">
            <v>1542756</v>
          </cell>
          <cell r="Z25">
            <v>1676534</v>
          </cell>
          <cell r="AA25">
            <v>1498596</v>
          </cell>
          <cell r="AB25">
            <v>1530434</v>
          </cell>
          <cell r="AC25">
            <v>1199885</v>
          </cell>
          <cell r="AD25">
            <v>1149880</v>
          </cell>
          <cell r="AE25">
            <v>1385668</v>
          </cell>
          <cell r="AF25">
            <v>1139465</v>
          </cell>
          <cell r="AG25">
            <v>1533863</v>
          </cell>
          <cell r="AH25">
            <v>1411820</v>
          </cell>
          <cell r="AI25">
            <v>1663348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17028</v>
          </cell>
          <cell r="F28">
            <v>17079</v>
          </cell>
          <cell r="G28">
            <v>17056</v>
          </cell>
          <cell r="H28">
            <v>17107</v>
          </cell>
          <cell r="I28">
            <v>17047</v>
          </cell>
          <cell r="J28">
            <v>16972</v>
          </cell>
          <cell r="K28">
            <v>17002</v>
          </cell>
          <cell r="L28">
            <v>17029</v>
          </cell>
          <cell r="M28">
            <v>17054</v>
          </cell>
          <cell r="N28">
            <v>17125</v>
          </cell>
          <cell r="O28">
            <v>17219</v>
          </cell>
          <cell r="P28">
            <v>17333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1536920.3476482618</v>
          </cell>
          <cell r="F29">
            <v>1453630.8803194079</v>
          </cell>
          <cell r="G29">
            <v>1470470.4781380855</v>
          </cell>
          <cell r="H29">
            <v>1354654.3051903788</v>
          </cell>
          <cell r="I29">
            <v>1547063.0110039925</v>
          </cell>
          <cell r="J29">
            <v>1220327.8245204012</v>
          </cell>
          <cell r="K29">
            <v>1316748.0085694811</v>
          </cell>
          <cell r="L29">
            <v>1124333.6916934464</v>
          </cell>
          <cell r="M29">
            <v>1004567.8498393223</v>
          </cell>
          <cell r="N29">
            <v>1097495.362742234</v>
          </cell>
          <cell r="O29">
            <v>1168115.0530723538</v>
          </cell>
          <cell r="P29">
            <v>1509821.5337423312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1578264</v>
          </cell>
          <cell r="F30">
            <v>1492734</v>
          </cell>
          <cell r="G30">
            <v>1510026</v>
          </cell>
          <cell r="H30">
            <v>1391095</v>
          </cell>
          <cell r="I30">
            <v>1588679</v>
          </cell>
          <cell r="J30">
            <v>1253155</v>
          </cell>
          <cell r="K30">
            <v>1352169</v>
          </cell>
          <cell r="L30">
            <v>1154578</v>
          </cell>
          <cell r="M30">
            <v>1031591</v>
          </cell>
          <cell r="N30">
            <v>1127018</v>
          </cell>
          <cell r="O30">
            <v>1199537</v>
          </cell>
          <cell r="P30">
            <v>1550436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15604</v>
          </cell>
          <cell r="F34">
            <v>15624</v>
          </cell>
          <cell r="G34">
            <v>15663</v>
          </cell>
          <cell r="H34">
            <v>15704</v>
          </cell>
          <cell r="I34">
            <v>15709</v>
          </cell>
          <cell r="J34">
            <v>15717</v>
          </cell>
          <cell r="K34">
            <v>15720</v>
          </cell>
          <cell r="L34">
            <v>15726</v>
          </cell>
          <cell r="M34">
            <v>15739</v>
          </cell>
          <cell r="N34">
            <v>15751</v>
          </cell>
          <cell r="O34">
            <v>15772</v>
          </cell>
          <cell r="P34">
            <v>15796</v>
          </cell>
          <cell r="T34">
            <v>31</v>
          </cell>
          <cell r="U34" t="str">
            <v>Residential</v>
          </cell>
          <cell r="V34"/>
          <cell r="W34"/>
          <cell r="X34">
            <v>15167</v>
          </cell>
          <cell r="Y34">
            <v>15205</v>
          </cell>
          <cell r="Z34">
            <v>15242</v>
          </cell>
          <cell r="AA34">
            <v>15276</v>
          </cell>
          <cell r="AB34">
            <v>15288</v>
          </cell>
          <cell r="AC34">
            <v>15285</v>
          </cell>
          <cell r="AD34">
            <v>15283</v>
          </cell>
          <cell r="AE34">
            <v>15298</v>
          </cell>
          <cell r="AF34">
            <v>15303</v>
          </cell>
          <cell r="AG34">
            <v>15310</v>
          </cell>
          <cell r="AH34">
            <v>15321</v>
          </cell>
          <cell r="AI34">
            <v>15340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1403</v>
          </cell>
          <cell r="F35">
            <v>1407</v>
          </cell>
          <cell r="G35">
            <v>1406</v>
          </cell>
          <cell r="H35">
            <v>1408</v>
          </cell>
          <cell r="I35">
            <v>1411</v>
          </cell>
          <cell r="J35">
            <v>1412</v>
          </cell>
          <cell r="K35">
            <v>1413</v>
          </cell>
          <cell r="L35">
            <v>1415</v>
          </cell>
          <cell r="M35">
            <v>1417</v>
          </cell>
          <cell r="N35">
            <v>1418</v>
          </cell>
          <cell r="O35">
            <v>1420</v>
          </cell>
          <cell r="P35">
            <v>1421</v>
          </cell>
          <cell r="T35">
            <v>32</v>
          </cell>
          <cell r="U35" t="str">
            <v>Commercial</v>
          </cell>
          <cell r="V35"/>
          <cell r="W35"/>
          <cell r="X35">
            <v>1381</v>
          </cell>
          <cell r="Y35">
            <v>1379</v>
          </cell>
          <cell r="Z35">
            <v>1378</v>
          </cell>
          <cell r="AA35">
            <v>1379</v>
          </cell>
          <cell r="AB35">
            <v>1381</v>
          </cell>
          <cell r="AC35">
            <v>1383</v>
          </cell>
          <cell r="AD35">
            <v>1384</v>
          </cell>
          <cell r="AE35">
            <v>1390</v>
          </cell>
          <cell r="AF35">
            <v>1391</v>
          </cell>
          <cell r="AG35">
            <v>1392</v>
          </cell>
          <cell r="AH35">
            <v>1393</v>
          </cell>
          <cell r="AI35">
            <v>1393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77</v>
          </cell>
          <cell r="F36">
            <v>77</v>
          </cell>
          <cell r="G36">
            <v>77</v>
          </cell>
          <cell r="H36">
            <v>78</v>
          </cell>
          <cell r="I36">
            <v>79</v>
          </cell>
          <cell r="J36">
            <v>79</v>
          </cell>
          <cell r="K36">
            <v>79</v>
          </cell>
          <cell r="L36">
            <v>78</v>
          </cell>
          <cell r="M36">
            <v>78</v>
          </cell>
          <cell r="N36">
            <v>79</v>
          </cell>
          <cell r="O36">
            <v>79</v>
          </cell>
          <cell r="P36">
            <v>79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72</v>
          </cell>
          <cell r="Y36">
            <v>72</v>
          </cell>
          <cell r="Z36">
            <v>72</v>
          </cell>
          <cell r="AA36">
            <v>72</v>
          </cell>
          <cell r="AB36">
            <v>72</v>
          </cell>
          <cell r="AC36">
            <v>72</v>
          </cell>
          <cell r="AD36">
            <v>72</v>
          </cell>
          <cell r="AE36">
            <v>72</v>
          </cell>
          <cell r="AF36">
            <v>72</v>
          </cell>
          <cell r="AG36">
            <v>72</v>
          </cell>
          <cell r="AH36">
            <v>72</v>
          </cell>
          <cell r="AI36">
            <v>73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17084</v>
          </cell>
          <cell r="F38">
            <v>17108</v>
          </cell>
          <cell r="G38">
            <v>17146</v>
          </cell>
          <cell r="H38">
            <v>17190</v>
          </cell>
          <cell r="I38">
            <v>17199</v>
          </cell>
          <cell r="J38">
            <v>17208</v>
          </cell>
          <cell r="K38">
            <v>17212</v>
          </cell>
          <cell r="L38">
            <v>17219</v>
          </cell>
          <cell r="M38">
            <v>17234</v>
          </cell>
          <cell r="N38">
            <v>17248</v>
          </cell>
          <cell r="O38">
            <v>17271</v>
          </cell>
          <cell r="P38">
            <v>17296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16620</v>
          </cell>
          <cell r="Y38">
            <v>16656</v>
          </cell>
          <cell r="Z38">
            <v>16692</v>
          </cell>
          <cell r="AA38">
            <v>16727</v>
          </cell>
          <cell r="AB38">
            <v>16741</v>
          </cell>
          <cell r="AC38">
            <v>16740</v>
          </cell>
          <cell r="AD38">
            <v>16739</v>
          </cell>
          <cell r="AE38">
            <v>16760</v>
          </cell>
          <cell r="AF38">
            <v>16766</v>
          </cell>
          <cell r="AG38">
            <v>16774</v>
          </cell>
          <cell r="AH38">
            <v>16786</v>
          </cell>
          <cell r="AI38">
            <v>16806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41014.31492842536</v>
          </cell>
          <cell r="F41">
            <v>77481.059499464405</v>
          </cell>
          <cell r="G41">
            <v>119748.85577953063</v>
          </cell>
          <cell r="H41">
            <v>154089.49264777487</v>
          </cell>
          <cell r="I41">
            <v>174925.60132437435</v>
          </cell>
          <cell r="J41">
            <v>193768.42925309186</v>
          </cell>
          <cell r="K41">
            <v>210884.31200701144</v>
          </cell>
          <cell r="L41">
            <v>226334.20975752268</v>
          </cell>
          <cell r="M41">
            <v>245312.49391372094</v>
          </cell>
          <cell r="N41">
            <v>263509.49459538423</v>
          </cell>
          <cell r="O41">
            <v>294320.86863375211</v>
          </cell>
          <cell r="P41">
            <v>329246.37257766095</v>
          </cell>
          <cell r="T41">
            <v>38</v>
          </cell>
          <cell r="U41" t="str">
            <v>Residential</v>
          </cell>
          <cell r="W41"/>
          <cell r="X41">
            <v>44786.63940013633</v>
          </cell>
          <cell r="Y41">
            <v>93369.65624695686</v>
          </cell>
          <cell r="Z41">
            <v>134844.5807770961</v>
          </cell>
          <cell r="AA41">
            <v>168060.57064952768</v>
          </cell>
          <cell r="AB41">
            <v>189757.42526049272</v>
          </cell>
          <cell r="AC41">
            <v>207545.52536761123</v>
          </cell>
          <cell r="AD41">
            <v>222705.32671146165</v>
          </cell>
          <cell r="AE41">
            <v>237307.430129516</v>
          </cell>
          <cell r="AF41">
            <v>253580.38757425259</v>
          </cell>
          <cell r="AG41">
            <v>273490.67874184466</v>
          </cell>
          <cell r="AH41">
            <v>300368.36887720349</v>
          </cell>
          <cell r="AI41">
            <v>333664.98977505136</v>
          </cell>
        </row>
        <row r="42">
          <cell r="A42">
            <v>39</v>
          </cell>
          <cell r="B42" t="str">
            <v>Commercial</v>
          </cell>
          <cell r="D42"/>
          <cell r="E42">
            <v>493630.34375304315</v>
          </cell>
          <cell r="F42">
            <v>952485.9285227384</v>
          </cell>
          <cell r="G42">
            <v>1424554.9712727629</v>
          </cell>
          <cell r="H42">
            <v>1872789.1712922389</v>
          </cell>
          <cell r="I42">
            <v>2307865.0306748468</v>
          </cell>
          <cell r="J42">
            <v>2724011.7830363233</v>
          </cell>
          <cell r="K42">
            <v>3171715.0647580097</v>
          </cell>
          <cell r="L42">
            <v>3593889.2784107509</v>
          </cell>
          <cell r="M42">
            <v>3866899.3085986953</v>
          </cell>
          <cell r="N42">
            <v>4233507.4496056093</v>
          </cell>
          <cell r="O42">
            <v>4599556.5293602105</v>
          </cell>
          <cell r="P42">
            <v>4993366.0531697348</v>
          </cell>
          <cell r="T42">
            <v>39</v>
          </cell>
          <cell r="U42" t="str">
            <v>Commercial</v>
          </cell>
          <cell r="W42"/>
          <cell r="X42">
            <v>477194.66355049179</v>
          </cell>
          <cell r="Y42">
            <v>936236.73191157856</v>
          </cell>
          <cell r="Z42">
            <v>1409822.8649332945</v>
          </cell>
          <cell r="AA42">
            <v>1878030.090563833</v>
          </cell>
          <cell r="AB42">
            <v>2315386.6978284158</v>
          </cell>
          <cell r="AC42">
            <v>2730711.5590612525</v>
          </cell>
          <cell r="AD42">
            <v>3135073.3274905058</v>
          </cell>
          <cell r="AE42">
            <v>3577433.5378323114</v>
          </cell>
          <cell r="AF42">
            <v>4010255.0394390891</v>
          </cell>
          <cell r="AG42">
            <v>4460288.4039341714</v>
          </cell>
          <cell r="AH42">
            <v>4917760.9913331391</v>
          </cell>
          <cell r="AI42">
            <v>5886173.3976044413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1146762.8785665596</v>
          </cell>
          <cell r="F43">
            <v>2086784.4970298959</v>
          </cell>
          <cell r="G43">
            <v>3172027.4612912647</v>
          </cell>
          <cell r="H43">
            <v>4041744.7657999801</v>
          </cell>
          <cell r="I43">
            <v>5119020.644658681</v>
          </cell>
          <cell r="J43">
            <v>5958291.3623527121</v>
          </cell>
          <cell r="K43">
            <v>6840463.8231570749</v>
          </cell>
          <cell r="L43">
            <v>7682048.9823741354</v>
          </cell>
          <cell r="M43">
            <v>8286213.5553607941</v>
          </cell>
          <cell r="N43">
            <v>9233383.873794917</v>
          </cell>
          <cell r="O43">
            <v>10138766.189502386</v>
          </cell>
          <cell r="P43">
            <v>11244275.878858702</v>
          </cell>
          <cell r="T43">
            <v>40</v>
          </cell>
          <cell r="U43" t="str">
            <v xml:space="preserve">Industrial </v>
          </cell>
          <cell r="W43"/>
          <cell r="X43">
            <v>1095256.6949070017</v>
          </cell>
          <cell r="Y43">
            <v>2089974.4863180446</v>
          </cell>
          <cell r="Z43">
            <v>3207529.1654494107</v>
          </cell>
          <cell r="AA43">
            <v>4165444.9313467718</v>
          </cell>
          <cell r="AB43">
            <v>5196733.9565683119</v>
          </cell>
          <cell r="AC43">
            <v>5932074.3986756252</v>
          </cell>
          <cell r="AD43">
            <v>6632311.0332067385</v>
          </cell>
          <cell r="AE43">
            <v>7524718.0835524388</v>
          </cell>
          <cell r="AF43">
            <v>8185240.1402278692</v>
          </cell>
          <cell r="AG43">
            <v>9208979.6802278683</v>
          </cell>
          <cell r="AH43">
            <v>10099465.12184828</v>
          </cell>
          <cell r="AI43">
            <v>10717532.314369461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1681407.5372480282</v>
          </cell>
          <cell r="F45">
            <v>3116751.4850520985</v>
          </cell>
          <cell r="G45">
            <v>4716331.2883435581</v>
          </cell>
          <cell r="H45">
            <v>6068623.429739994</v>
          </cell>
          <cell r="I45">
            <v>7601811.2766579017</v>
          </cell>
          <cell r="J45">
            <v>8876071.5746421274</v>
          </cell>
          <cell r="K45">
            <v>10223063.199922096</v>
          </cell>
          <cell r="L45">
            <v>11502272.470542409</v>
          </cell>
          <cell r="M45">
            <v>12398425.357873211</v>
          </cell>
          <cell r="N45">
            <v>13730400.81799591</v>
          </cell>
          <cell r="O45">
            <v>15032643.587496348</v>
          </cell>
          <cell r="P45">
            <v>16566888.304606099</v>
          </cell>
          <cell r="T45">
            <v>42</v>
          </cell>
          <cell r="U45" t="str">
            <v>Total Volume</v>
          </cell>
          <cell r="V45"/>
          <cell r="W45"/>
          <cell r="X45">
            <v>1617237.9978576298</v>
          </cell>
          <cell r="Y45">
            <v>3119580.8744765799</v>
          </cell>
          <cell r="Z45">
            <v>4752196.6111598015</v>
          </cell>
          <cell r="AA45">
            <v>6211535.592560133</v>
          </cell>
          <cell r="AB45">
            <v>7701878.0796572203</v>
          </cell>
          <cell r="AC45">
            <v>8870331.4831044897</v>
          </cell>
          <cell r="AD45">
            <v>9990089.6874087062</v>
          </cell>
          <cell r="AE45">
            <v>11339459.051514266</v>
          </cell>
          <cell r="AF45">
            <v>12449075.56724121</v>
          </cell>
          <cell r="AG45">
            <v>13942758.762903884</v>
          </cell>
          <cell r="AH45">
            <v>15317594.482058622</v>
          </cell>
          <cell r="AI45">
            <v>16937370.701748952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42118</v>
          </cell>
          <cell r="F48">
            <v>79566</v>
          </cell>
          <cell r="G48">
            <v>122971</v>
          </cell>
          <cell r="H48">
            <v>158235</v>
          </cell>
          <cell r="I48">
            <v>179632</v>
          </cell>
          <cell r="J48">
            <v>198982</v>
          </cell>
          <cell r="K48">
            <v>216558</v>
          </cell>
          <cell r="L48">
            <v>232424</v>
          </cell>
          <cell r="M48">
            <v>251913</v>
          </cell>
          <cell r="N48">
            <v>270600</v>
          </cell>
          <cell r="O48">
            <v>302240</v>
          </cell>
          <cell r="P48">
            <v>338105</v>
          </cell>
          <cell r="T48">
            <v>45</v>
          </cell>
          <cell r="U48" t="str">
            <v>Residential</v>
          </cell>
          <cell r="W48"/>
          <cell r="X48">
            <v>45991</v>
          </cell>
          <cell r="Y48">
            <v>95881</v>
          </cell>
          <cell r="Z48">
            <v>138472</v>
          </cell>
          <cell r="AA48">
            <v>172582</v>
          </cell>
          <cell r="AB48">
            <v>194863</v>
          </cell>
          <cell r="AC48">
            <v>213130</v>
          </cell>
          <cell r="AD48">
            <v>228698</v>
          </cell>
          <cell r="AE48">
            <v>243693</v>
          </cell>
          <cell r="AF48">
            <v>260404</v>
          </cell>
          <cell r="AG48">
            <v>280850</v>
          </cell>
          <cell r="AH48">
            <v>308451</v>
          </cell>
          <cell r="AI48">
            <v>342643</v>
          </cell>
        </row>
        <row r="49">
          <cell r="A49">
            <v>46</v>
          </cell>
          <cell r="B49" t="str">
            <v>Commercial</v>
          </cell>
          <cell r="D49"/>
          <cell r="E49">
            <v>506909</v>
          </cell>
          <cell r="F49">
            <v>978108</v>
          </cell>
          <cell r="G49">
            <v>1462876</v>
          </cell>
          <cell r="H49">
            <v>1923168</v>
          </cell>
          <cell r="I49">
            <v>2369947</v>
          </cell>
          <cell r="J49">
            <v>2797288</v>
          </cell>
          <cell r="K49">
            <v>3257035</v>
          </cell>
          <cell r="L49">
            <v>3690566</v>
          </cell>
          <cell r="M49">
            <v>3970920</v>
          </cell>
          <cell r="N49">
            <v>4347390</v>
          </cell>
          <cell r="O49">
            <v>4723286</v>
          </cell>
          <cell r="P49">
            <v>5127689</v>
          </cell>
          <cell r="T49">
            <v>46</v>
          </cell>
          <cell r="U49" t="str">
            <v>Commercial</v>
          </cell>
          <cell r="W49"/>
          <cell r="X49">
            <v>490031</v>
          </cell>
          <cell r="Y49">
            <v>961421</v>
          </cell>
          <cell r="Z49">
            <v>1447747</v>
          </cell>
          <cell r="AA49">
            <v>1928549</v>
          </cell>
          <cell r="AB49">
            <v>2377671</v>
          </cell>
          <cell r="AC49">
            <v>2804168</v>
          </cell>
          <cell r="AD49">
            <v>3219407</v>
          </cell>
          <cell r="AE49">
            <v>3673667</v>
          </cell>
          <cell r="AF49">
            <v>4118131</v>
          </cell>
          <cell r="AG49">
            <v>4580270</v>
          </cell>
          <cell r="AH49">
            <v>5050049</v>
          </cell>
          <cell r="AI49">
            <v>6044512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1177611</v>
          </cell>
          <cell r="F50">
            <v>2142919</v>
          </cell>
          <cell r="G50">
            <v>3257355</v>
          </cell>
          <cell r="H50">
            <v>4150468</v>
          </cell>
          <cell r="I50">
            <v>5256723</v>
          </cell>
          <cell r="J50">
            <v>6118570</v>
          </cell>
          <cell r="K50">
            <v>7024473</v>
          </cell>
          <cell r="L50">
            <v>7888697</v>
          </cell>
          <cell r="M50">
            <v>8509114</v>
          </cell>
          <cell r="N50">
            <v>9481763</v>
          </cell>
          <cell r="O50">
            <v>10411500</v>
          </cell>
          <cell r="P50">
            <v>11546748</v>
          </cell>
          <cell r="T50">
            <v>47</v>
          </cell>
          <cell r="U50" t="str">
            <v xml:space="preserve">Industrial </v>
          </cell>
          <cell r="W50"/>
          <cell r="X50">
            <v>1124719</v>
          </cell>
          <cell r="Y50">
            <v>2146195</v>
          </cell>
          <cell r="Z50">
            <v>3293812</v>
          </cell>
          <cell r="AA50">
            <v>4277496</v>
          </cell>
          <cell r="AB50">
            <v>5336527</v>
          </cell>
          <cell r="AC50">
            <v>6091648</v>
          </cell>
          <cell r="AD50">
            <v>6810721</v>
          </cell>
          <cell r="AE50">
            <v>7727134</v>
          </cell>
          <cell r="AF50">
            <v>8405424</v>
          </cell>
          <cell r="AG50">
            <v>9456702</v>
          </cell>
          <cell r="AH50">
            <v>10371142</v>
          </cell>
          <cell r="AI50">
            <v>11005835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1726638</v>
          </cell>
          <cell r="F52">
            <v>3200593</v>
          </cell>
          <cell r="G52">
            <v>4843202</v>
          </cell>
          <cell r="H52">
            <v>6231871</v>
          </cell>
          <cell r="I52">
            <v>7806302</v>
          </cell>
          <cell r="J52">
            <v>9114840</v>
          </cell>
          <cell r="K52">
            <v>10498066</v>
          </cell>
          <cell r="L52">
            <v>11811687</v>
          </cell>
          <cell r="M52">
            <v>12731947</v>
          </cell>
          <cell r="N52">
            <v>14099753</v>
          </cell>
          <cell r="O52">
            <v>15437026</v>
          </cell>
          <cell r="P52">
            <v>17012542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1660741</v>
          </cell>
          <cell r="Y52">
            <v>3203497</v>
          </cell>
          <cell r="Z52">
            <v>4880031</v>
          </cell>
          <cell r="AA52">
            <v>6378627</v>
          </cell>
          <cell r="AB52">
            <v>7909061</v>
          </cell>
          <cell r="AC52">
            <v>9108946</v>
          </cell>
          <cell r="AD52">
            <v>10258826</v>
          </cell>
          <cell r="AE52">
            <v>11644494</v>
          </cell>
          <cell r="AF52">
            <v>12783959</v>
          </cell>
          <cell r="AG52">
            <v>14317822</v>
          </cell>
          <cell r="AH52">
            <v>15729642</v>
          </cell>
          <cell r="AI52">
            <v>17392990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17028</v>
          </cell>
          <cell r="F55">
            <v>17054</v>
          </cell>
          <cell r="G55">
            <v>17054</v>
          </cell>
          <cell r="H55">
            <v>17068</v>
          </cell>
          <cell r="I55">
            <v>17063</v>
          </cell>
          <cell r="J55">
            <v>17048</v>
          </cell>
          <cell r="K55">
            <v>17042</v>
          </cell>
          <cell r="L55">
            <v>17040</v>
          </cell>
          <cell r="M55">
            <v>17042</v>
          </cell>
          <cell r="N55">
            <v>17050</v>
          </cell>
          <cell r="O55">
            <v>17065</v>
          </cell>
          <cell r="P55">
            <v>17088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1536920.3476482618</v>
          </cell>
          <cell r="F56">
            <v>2990551.2279676697</v>
          </cell>
          <cell r="G56">
            <v>4461021.7061057556</v>
          </cell>
          <cell r="H56">
            <v>5815676.0112961344</v>
          </cell>
          <cell r="I56">
            <v>7362739.022300127</v>
          </cell>
          <cell r="J56">
            <v>8583066.8468205277</v>
          </cell>
          <cell r="K56">
            <v>9899814.8553900085</v>
          </cell>
          <cell r="L56">
            <v>11024148.547083454</v>
          </cell>
          <cell r="M56">
            <v>12028716.396922776</v>
          </cell>
          <cell r="N56">
            <v>13126211.75966501</v>
          </cell>
          <cell r="O56">
            <v>14294326.812737364</v>
          </cell>
          <cell r="P56">
            <v>15804148.346479695</v>
          </cell>
        </row>
        <row r="57">
          <cell r="A57">
            <v>54</v>
          </cell>
          <cell r="B57" t="str">
            <v>Cumulative YTD Budget Volume (Dts) * 1.0269</v>
          </cell>
          <cell r="E57">
            <v>1578264</v>
          </cell>
          <cell r="F57">
            <v>3070998</v>
          </cell>
          <cell r="G57">
            <v>4581024</v>
          </cell>
          <cell r="H57">
            <v>5972119</v>
          </cell>
          <cell r="I57">
            <v>7560798</v>
          </cell>
          <cell r="J57">
            <v>8813953</v>
          </cell>
          <cell r="K57">
            <v>10166122</v>
          </cell>
          <cell r="L57">
            <v>11320700</v>
          </cell>
          <cell r="M57">
            <v>12352291</v>
          </cell>
          <cell r="N57">
            <v>13479309</v>
          </cell>
          <cell r="O57">
            <v>14678846</v>
          </cell>
          <cell r="P57">
            <v>16229282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54410</v>
          </cell>
          <cell r="D5">
            <v>652917</v>
          </cell>
          <cell r="E5">
            <v>53892</v>
          </cell>
          <cell r="F5">
            <v>54006</v>
          </cell>
          <cell r="G5">
            <v>54224</v>
          </cell>
          <cell r="H5">
            <v>54411</v>
          </cell>
          <cell r="I5">
            <v>54379</v>
          </cell>
          <cell r="J5">
            <v>54265</v>
          </cell>
          <cell r="K5">
            <v>54436</v>
          </cell>
          <cell r="L5">
            <v>54562</v>
          </cell>
          <cell r="M5">
            <v>54630</v>
          </cell>
          <cell r="N5">
            <v>54578</v>
          </cell>
          <cell r="O5">
            <v>54633</v>
          </cell>
          <cell r="P5">
            <v>54901</v>
          </cell>
          <cell r="T5">
            <v>2</v>
          </cell>
          <cell r="U5" t="str">
            <v>Residential</v>
          </cell>
          <cell r="V5"/>
          <cell r="W5"/>
          <cell r="X5">
            <v>52941</v>
          </cell>
          <cell r="Y5">
            <v>52987</v>
          </cell>
          <cell r="Z5">
            <v>53205</v>
          </cell>
          <cell r="AA5">
            <v>53269</v>
          </cell>
          <cell r="AB5">
            <v>53238</v>
          </cell>
          <cell r="AC5">
            <v>53352</v>
          </cell>
          <cell r="AD5">
            <v>53231</v>
          </cell>
          <cell r="AE5">
            <v>53318</v>
          </cell>
          <cell r="AF5">
            <v>53393</v>
          </cell>
          <cell r="AG5">
            <v>53380</v>
          </cell>
          <cell r="AH5">
            <v>53541</v>
          </cell>
          <cell r="AI5">
            <v>53743</v>
          </cell>
        </row>
        <row r="6">
          <cell r="A6">
            <v>3</v>
          </cell>
          <cell r="B6" t="str">
            <v>Commercial</v>
          </cell>
          <cell r="C6">
            <v>4054</v>
          </cell>
          <cell r="D6">
            <v>48642</v>
          </cell>
          <cell r="E6">
            <v>4186</v>
          </cell>
          <cell r="F6">
            <v>4183</v>
          </cell>
          <cell r="G6">
            <v>4151</v>
          </cell>
          <cell r="H6">
            <v>4119</v>
          </cell>
          <cell r="I6">
            <v>4066</v>
          </cell>
          <cell r="J6">
            <v>4031</v>
          </cell>
          <cell r="K6">
            <v>4039</v>
          </cell>
          <cell r="L6">
            <v>4007</v>
          </cell>
          <cell r="M6">
            <v>3974</v>
          </cell>
          <cell r="N6">
            <v>3968</v>
          </cell>
          <cell r="O6">
            <v>3955</v>
          </cell>
          <cell r="P6">
            <v>3963</v>
          </cell>
          <cell r="T6">
            <v>3</v>
          </cell>
          <cell r="U6" t="str">
            <v>Commercial</v>
          </cell>
          <cell r="V6"/>
          <cell r="W6"/>
          <cell r="X6">
            <v>4253</v>
          </cell>
          <cell r="Y6">
            <v>4265</v>
          </cell>
          <cell r="Z6">
            <v>4266</v>
          </cell>
          <cell r="AA6">
            <v>4277</v>
          </cell>
          <cell r="AB6">
            <v>4268</v>
          </cell>
          <cell r="AC6">
            <v>4249</v>
          </cell>
          <cell r="AD6">
            <v>4237</v>
          </cell>
          <cell r="AE6">
            <v>4213</v>
          </cell>
          <cell r="AF6">
            <v>4199</v>
          </cell>
          <cell r="AG6">
            <v>4193</v>
          </cell>
          <cell r="AH6">
            <v>4195</v>
          </cell>
          <cell r="AI6">
            <v>4213</v>
          </cell>
        </row>
        <row r="7">
          <cell r="A7">
            <v>4</v>
          </cell>
          <cell r="B7" t="str">
            <v xml:space="preserve">Industrial </v>
          </cell>
          <cell r="C7">
            <v>2078</v>
          </cell>
          <cell r="D7">
            <v>24935</v>
          </cell>
          <cell r="E7">
            <v>1898</v>
          </cell>
          <cell r="F7">
            <v>1938</v>
          </cell>
          <cell r="G7">
            <v>1979</v>
          </cell>
          <cell r="H7">
            <v>2027</v>
          </cell>
          <cell r="I7">
            <v>2058</v>
          </cell>
          <cell r="J7">
            <v>2081</v>
          </cell>
          <cell r="K7">
            <v>2106</v>
          </cell>
          <cell r="L7">
            <v>2129</v>
          </cell>
          <cell r="M7">
            <v>2161</v>
          </cell>
          <cell r="N7">
            <v>2170</v>
          </cell>
          <cell r="O7">
            <v>2181</v>
          </cell>
          <cell r="P7">
            <v>2207</v>
          </cell>
          <cell r="T7">
            <v>4</v>
          </cell>
          <cell r="U7" t="str">
            <v>Industrial firm</v>
          </cell>
          <cell r="V7"/>
          <cell r="W7"/>
          <cell r="X7">
            <v>1706</v>
          </cell>
          <cell r="Y7">
            <v>1718</v>
          </cell>
          <cell r="Z7">
            <v>1723</v>
          </cell>
          <cell r="AA7">
            <v>1731</v>
          </cell>
          <cell r="AB7">
            <v>1746</v>
          </cell>
          <cell r="AC7">
            <v>1770</v>
          </cell>
          <cell r="AD7">
            <v>1789</v>
          </cell>
          <cell r="AE7">
            <v>1815</v>
          </cell>
          <cell r="AF7">
            <v>1839</v>
          </cell>
          <cell r="AG7">
            <v>1851</v>
          </cell>
          <cell r="AH7">
            <v>1861</v>
          </cell>
          <cell r="AI7">
            <v>1879</v>
          </cell>
        </row>
        <row r="8">
          <cell r="A8">
            <v>5</v>
          </cell>
          <cell r="B8" t="str">
            <v>Other</v>
          </cell>
          <cell r="C8">
            <v>10</v>
          </cell>
          <cell r="D8">
            <v>120</v>
          </cell>
          <cell r="E8">
            <v>10</v>
          </cell>
          <cell r="F8">
            <v>10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10</v>
          </cell>
          <cell r="T8">
            <v>5</v>
          </cell>
          <cell r="U8" t="str">
            <v>Other</v>
          </cell>
          <cell r="V8"/>
          <cell r="W8"/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2</v>
          </cell>
          <cell r="AD8">
            <v>2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2</v>
          </cell>
        </row>
        <row r="9">
          <cell r="A9">
            <v>6</v>
          </cell>
          <cell r="B9" t="str">
            <v>Total customers</v>
          </cell>
          <cell r="C9">
            <v>60552</v>
          </cell>
          <cell r="D9">
            <v>726494</v>
          </cell>
          <cell r="E9">
            <v>59986</v>
          </cell>
          <cell r="F9">
            <v>60137</v>
          </cell>
          <cell r="G9">
            <v>60364</v>
          </cell>
          <cell r="H9">
            <v>60567</v>
          </cell>
          <cell r="I9">
            <v>60513</v>
          </cell>
          <cell r="J9">
            <v>60387</v>
          </cell>
          <cell r="K9">
            <v>60591</v>
          </cell>
          <cell r="L9">
            <v>60708</v>
          </cell>
          <cell r="M9">
            <v>60775</v>
          </cell>
          <cell r="N9">
            <v>60726</v>
          </cell>
          <cell r="O9">
            <v>60779</v>
          </cell>
          <cell r="P9">
            <v>61081</v>
          </cell>
          <cell r="T9">
            <v>6</v>
          </cell>
          <cell r="U9" t="str">
            <v>Total customers</v>
          </cell>
          <cell r="V9"/>
          <cell r="W9"/>
          <cell r="X9">
            <v>58901</v>
          </cell>
          <cell r="Y9">
            <v>58971</v>
          </cell>
          <cell r="Z9">
            <v>59195</v>
          </cell>
          <cell r="AA9">
            <v>59278</v>
          </cell>
          <cell r="AB9">
            <v>59253</v>
          </cell>
          <cell r="AC9">
            <v>59373</v>
          </cell>
          <cell r="AD9">
            <v>59259</v>
          </cell>
          <cell r="AE9">
            <v>59348</v>
          </cell>
          <cell r="AF9">
            <v>59433</v>
          </cell>
          <cell r="AG9">
            <v>59426</v>
          </cell>
          <cell r="AH9">
            <v>59599</v>
          </cell>
          <cell r="AI9">
            <v>59837</v>
          </cell>
        </row>
        <row r="10">
          <cell r="A10">
            <v>7</v>
          </cell>
          <cell r="T10">
            <v>7</v>
          </cell>
          <cell r="X10"/>
        </row>
        <row r="11">
          <cell r="A11">
            <v>8</v>
          </cell>
          <cell r="B11" t="str">
            <v>Volume - 2017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1315039.3417080536</v>
          </cell>
          <cell r="E12">
            <v>169015.09397214919</v>
          </cell>
          <cell r="F12">
            <v>147300.41873600159</v>
          </cell>
          <cell r="G12">
            <v>142162.1384750219</v>
          </cell>
          <cell r="H12">
            <v>128972.24656733859</v>
          </cell>
          <cell r="I12">
            <v>89320.38173142467</v>
          </cell>
          <cell r="J12">
            <v>78395.462070308684</v>
          </cell>
          <cell r="K12">
            <v>68637.063005161181</v>
          </cell>
          <cell r="L12">
            <v>61647.969617294773</v>
          </cell>
          <cell r="M12">
            <v>110360.40510273639</v>
          </cell>
          <cell r="N12">
            <v>75936.02103418055</v>
          </cell>
          <cell r="O12">
            <v>101296.52351738242</v>
          </cell>
          <cell r="P12">
            <v>141995.61787905349</v>
          </cell>
          <cell r="T12">
            <v>9</v>
          </cell>
          <cell r="U12" t="str">
            <v>Residential</v>
          </cell>
          <cell r="V12"/>
          <cell r="W12">
            <v>1274618.4486318044</v>
          </cell>
          <cell r="X12">
            <v>169382</v>
          </cell>
          <cell r="Y12">
            <v>176192</v>
          </cell>
          <cell r="Z12">
            <v>148059</v>
          </cell>
          <cell r="AA12">
            <v>116216</v>
          </cell>
          <cell r="AB12">
            <v>89463</v>
          </cell>
          <cell r="AC12">
            <v>76893.981887233414</v>
          </cell>
          <cell r="AD12">
            <v>67907.196221637932</v>
          </cell>
          <cell r="AE12">
            <v>57127</v>
          </cell>
          <cell r="AF12">
            <v>66640.321355536071</v>
          </cell>
          <cell r="AG12">
            <v>78785.860356412493</v>
          </cell>
          <cell r="AH12">
            <v>99029.116759178098</v>
          </cell>
          <cell r="AI12">
            <v>128922.97205180641</v>
          </cell>
        </row>
        <row r="13">
          <cell r="A13">
            <v>10</v>
          </cell>
          <cell r="B13" t="str">
            <v>Commercial</v>
          </cell>
          <cell r="D13">
            <v>1814340.9290096406</v>
          </cell>
          <cell r="E13">
            <v>203694.61486025903</v>
          </cell>
          <cell r="F13">
            <v>189911.38377641444</v>
          </cell>
          <cell r="G13">
            <v>191848.37861524979</v>
          </cell>
          <cell r="H13">
            <v>173820.04089979551</v>
          </cell>
          <cell r="I13">
            <v>138403.1551270815</v>
          </cell>
          <cell r="J13">
            <v>135097.38046547861</v>
          </cell>
          <cell r="K13">
            <v>124160.48300710876</v>
          </cell>
          <cell r="L13">
            <v>114400.72061544456</v>
          </cell>
          <cell r="M13">
            <v>118161.06728990164</v>
          </cell>
          <cell r="N13">
            <v>116538.70873502774</v>
          </cell>
          <cell r="O13">
            <v>143460.1226993865</v>
          </cell>
          <cell r="P13">
            <v>164844.87291849253</v>
          </cell>
          <cell r="T13">
            <v>10</v>
          </cell>
          <cell r="U13" t="str">
            <v>Commercial</v>
          </cell>
          <cell r="W13">
            <v>2077946.2477359043</v>
          </cell>
          <cell r="X13">
            <v>225740</v>
          </cell>
          <cell r="Y13">
            <v>225719</v>
          </cell>
          <cell r="Z13">
            <v>222736</v>
          </cell>
          <cell r="AA13">
            <v>189008</v>
          </cell>
          <cell r="AB13">
            <v>180679</v>
          </cell>
          <cell r="AC13">
            <v>148800.1791800565</v>
          </cell>
          <cell r="AD13">
            <v>133466.1969033012</v>
          </cell>
          <cell r="AE13">
            <v>126931</v>
          </cell>
          <cell r="AF13">
            <v>138040.40364202939</v>
          </cell>
          <cell r="AG13">
            <v>138868.53637160384</v>
          </cell>
          <cell r="AH13">
            <v>164677.18375693835</v>
          </cell>
          <cell r="AI13">
            <v>183280.74788197488</v>
          </cell>
        </row>
        <row r="14">
          <cell r="A14">
            <v>11</v>
          </cell>
          <cell r="B14" t="str">
            <v xml:space="preserve">Industrial </v>
          </cell>
          <cell r="D14">
            <v>4424749.3426818578</v>
          </cell>
          <cell r="E14">
            <v>400776.21969033009</v>
          </cell>
          <cell r="F14">
            <v>365848.6707566462</v>
          </cell>
          <cell r="G14">
            <v>391484.75995715259</v>
          </cell>
          <cell r="H14">
            <v>364629.46732885379</v>
          </cell>
          <cell r="I14">
            <v>356034.37530431396</v>
          </cell>
          <cell r="J14">
            <v>350939.91625279968</v>
          </cell>
          <cell r="K14">
            <v>375904.56714383099</v>
          </cell>
          <cell r="L14">
            <v>360230.69432271883</v>
          </cell>
          <cell r="M14">
            <v>318204.2068361087</v>
          </cell>
          <cell r="N14">
            <v>368503.94390885194</v>
          </cell>
          <cell r="O14">
            <v>366365.17674554483</v>
          </cell>
          <cell r="P14">
            <v>405827.34443470644</v>
          </cell>
          <cell r="T14">
            <v>11</v>
          </cell>
          <cell r="U14" t="str">
            <v>Industrial firm</v>
          </cell>
          <cell r="W14">
            <v>4182073.6436106316</v>
          </cell>
          <cell r="X14">
            <v>355054</v>
          </cell>
          <cell r="Y14">
            <v>347321</v>
          </cell>
          <cell r="Z14">
            <v>393890</v>
          </cell>
          <cell r="AA14">
            <v>348849</v>
          </cell>
          <cell r="AB14">
            <v>318053</v>
          </cell>
          <cell r="AC14">
            <v>339657.29866588768</v>
          </cell>
          <cell r="AD14">
            <v>343098.71681760636</v>
          </cell>
          <cell r="AE14">
            <v>331705</v>
          </cell>
          <cell r="AF14">
            <v>327401.63287564513</v>
          </cell>
          <cell r="AG14">
            <v>339993.84431177127</v>
          </cell>
          <cell r="AH14">
            <v>366784.30226896488</v>
          </cell>
          <cell r="AI14">
            <v>370265.84867075662</v>
          </cell>
        </row>
        <row r="15">
          <cell r="A15">
            <v>12</v>
          </cell>
          <cell r="B15" t="str">
            <v>Other</v>
          </cell>
          <cell r="D15">
            <v>1826625.8100107121</v>
          </cell>
          <cell r="E15">
            <v>163423.28269549127</v>
          </cell>
          <cell r="F15">
            <v>143313.67319115787</v>
          </cell>
          <cell r="G15">
            <v>168392.62245593534</v>
          </cell>
          <cell r="H15">
            <v>140425.77359041772</v>
          </cell>
          <cell r="I15">
            <v>162372.18229623136</v>
          </cell>
          <cell r="J15">
            <v>144374.66647190572</v>
          </cell>
          <cell r="K15">
            <v>91504.399552049857</v>
          </cell>
          <cell r="L15">
            <v>120529.95423118121</v>
          </cell>
          <cell r="M15">
            <v>114075.54825202063</v>
          </cell>
          <cell r="N15">
            <v>183923.95228357191</v>
          </cell>
          <cell r="O15">
            <v>193762.82724705423</v>
          </cell>
          <cell r="P15">
            <v>200526.92774369463</v>
          </cell>
          <cell r="T15">
            <v>12</v>
          </cell>
          <cell r="U15" t="str">
            <v>Other</v>
          </cell>
          <cell r="W15">
            <v>823952.30704060756</v>
          </cell>
          <cell r="X15">
            <v>-12552.932515337425</v>
          </cell>
          <cell r="Y15">
            <v>55423.579998052395</v>
          </cell>
          <cell r="Z15">
            <v>-3545.925114422047</v>
          </cell>
          <cell r="AA15">
            <v>-45617.861232836694</v>
          </cell>
          <cell r="AB15">
            <v>648</v>
          </cell>
          <cell r="AC15">
            <v>461.54737559645537</v>
          </cell>
          <cell r="AD15">
            <v>137286.81098451652</v>
          </cell>
          <cell r="AE15">
            <v>170908.94342194955</v>
          </cell>
          <cell r="AF15">
            <v>81740.224948875242</v>
          </cell>
          <cell r="AG15">
            <v>143197.34346090173</v>
          </cell>
          <cell r="AH15">
            <v>150251.17732982762</v>
          </cell>
          <cell r="AI15">
            <v>145751.39838348428</v>
          </cell>
        </row>
        <row r="16">
          <cell r="A16">
            <v>13</v>
          </cell>
          <cell r="B16" t="str">
            <v>Total Deliveries</v>
          </cell>
          <cell r="C16"/>
          <cell r="D16">
            <v>9380755.4234102648</v>
          </cell>
          <cell r="E16">
            <v>936909.21121822949</v>
          </cell>
          <cell r="F16">
            <v>846374.1464602201</v>
          </cell>
          <cell r="G16">
            <v>893887.89950335969</v>
          </cell>
          <cell r="H16">
            <v>807847.52838640555</v>
          </cell>
          <cell r="I16">
            <v>746130.0944590515</v>
          </cell>
          <cell r="J16">
            <v>708807.4252604926</v>
          </cell>
          <cell r="K16">
            <v>660206.51270815078</v>
          </cell>
          <cell r="L16">
            <v>656809.33878663927</v>
          </cell>
          <cell r="M16">
            <v>660801.22748076741</v>
          </cell>
          <cell r="N16">
            <v>744902.62596163223</v>
          </cell>
          <cell r="O16">
            <v>804884.65020936797</v>
          </cell>
          <cell r="P16">
            <v>913194.76297594712</v>
          </cell>
          <cell r="T16">
            <v>13</v>
          </cell>
          <cell r="U16" t="str">
            <v>Total Deliveries</v>
          </cell>
          <cell r="V16"/>
          <cell r="W16">
            <v>8358590.6470189486</v>
          </cell>
          <cell r="X16">
            <v>737623.06748466252</v>
          </cell>
          <cell r="Y16">
            <v>804655.57999805245</v>
          </cell>
          <cell r="Z16">
            <v>761139.07488557789</v>
          </cell>
          <cell r="AA16">
            <v>608455.13876716327</v>
          </cell>
          <cell r="AB16">
            <v>588843</v>
          </cell>
          <cell r="AC16">
            <v>565813.00710877404</v>
          </cell>
          <cell r="AD16">
            <v>681758.92092706193</v>
          </cell>
          <cell r="AE16">
            <v>686671.94342194952</v>
          </cell>
          <cell r="AF16">
            <v>613822.58282208582</v>
          </cell>
          <cell r="AG16">
            <v>700845.58450068941</v>
          </cell>
          <cell r="AH16">
            <v>780741.78011490894</v>
          </cell>
          <cell r="AI16">
            <v>828220.96698802221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</row>
        <row r="18">
          <cell r="A18">
            <v>15</v>
          </cell>
          <cell r="B18" t="str">
            <v>DATA INPUT AREA</v>
          </cell>
          <cell r="T18">
            <v>15</v>
          </cell>
          <cell r="X18"/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  <cell r="X19"/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53148</v>
          </cell>
          <cell r="D21">
            <v>637781</v>
          </cell>
          <cell r="E21">
            <v>52607</v>
          </cell>
          <cell r="F21">
            <v>52722</v>
          </cell>
          <cell r="G21">
            <v>52934</v>
          </cell>
          <cell r="H21">
            <v>53124</v>
          </cell>
          <cell r="I21">
            <v>53115</v>
          </cell>
          <cell r="J21">
            <v>53003</v>
          </cell>
          <cell r="K21">
            <v>53186</v>
          </cell>
          <cell r="L21">
            <v>53318</v>
          </cell>
          <cell r="M21">
            <v>53389</v>
          </cell>
          <cell r="N21">
            <v>53341</v>
          </cell>
          <cell r="O21">
            <v>53389</v>
          </cell>
          <cell r="P21">
            <v>53653</v>
          </cell>
          <cell r="T21">
            <v>18</v>
          </cell>
          <cell r="U21" t="str">
            <v>Residential</v>
          </cell>
          <cell r="V21"/>
          <cell r="W21"/>
          <cell r="X21">
            <v>51638</v>
          </cell>
          <cell r="Y21">
            <v>51695</v>
          </cell>
          <cell r="Z21">
            <v>51907</v>
          </cell>
          <cell r="AA21">
            <v>51978</v>
          </cell>
          <cell r="AB21">
            <v>51954</v>
          </cell>
          <cell r="AC21">
            <v>52078</v>
          </cell>
          <cell r="AD21">
            <v>51962</v>
          </cell>
          <cell r="AE21">
            <v>52045</v>
          </cell>
          <cell r="AF21">
            <v>52120</v>
          </cell>
          <cell r="AG21">
            <v>52115</v>
          </cell>
          <cell r="AH21">
            <v>52271</v>
          </cell>
          <cell r="AI21">
            <v>52465</v>
          </cell>
        </row>
        <row r="22">
          <cell r="A22">
            <v>19</v>
          </cell>
          <cell r="B22" t="str">
            <v>Commercial Small</v>
          </cell>
          <cell r="C22">
            <v>3248</v>
          </cell>
          <cell r="D22">
            <v>38978</v>
          </cell>
          <cell r="E22">
            <v>3321</v>
          </cell>
          <cell r="F22">
            <v>3322</v>
          </cell>
          <cell r="G22">
            <v>3303</v>
          </cell>
          <cell r="H22">
            <v>3282</v>
          </cell>
          <cell r="I22">
            <v>3250</v>
          </cell>
          <cell r="J22">
            <v>3235</v>
          </cell>
          <cell r="K22">
            <v>3244</v>
          </cell>
          <cell r="L22">
            <v>3228</v>
          </cell>
          <cell r="M22">
            <v>3209</v>
          </cell>
          <cell r="N22">
            <v>3198</v>
          </cell>
          <cell r="O22">
            <v>3185</v>
          </cell>
          <cell r="P22">
            <v>3201</v>
          </cell>
          <cell r="T22">
            <v>19</v>
          </cell>
          <cell r="U22" t="str">
            <v>Commercial Small</v>
          </cell>
          <cell r="X22">
            <v>3338</v>
          </cell>
          <cell r="Y22">
            <v>3346</v>
          </cell>
          <cell r="Z22">
            <v>3357</v>
          </cell>
          <cell r="AA22">
            <v>3369</v>
          </cell>
          <cell r="AB22">
            <v>3357</v>
          </cell>
          <cell r="AC22">
            <v>3342</v>
          </cell>
          <cell r="AD22">
            <v>3342</v>
          </cell>
          <cell r="AE22">
            <v>3318</v>
          </cell>
          <cell r="AF22">
            <v>3312</v>
          </cell>
          <cell r="AG22">
            <v>3310</v>
          </cell>
          <cell r="AH22">
            <v>3311</v>
          </cell>
          <cell r="AI22">
            <v>3326</v>
          </cell>
        </row>
        <row r="23">
          <cell r="A23">
            <v>20</v>
          </cell>
          <cell r="B23" t="str">
            <v>Commercial Large</v>
          </cell>
          <cell r="C23">
            <v>726</v>
          </cell>
          <cell r="D23">
            <v>8715</v>
          </cell>
          <cell r="E23">
            <v>780</v>
          </cell>
          <cell r="F23">
            <v>776</v>
          </cell>
          <cell r="G23">
            <v>763</v>
          </cell>
          <cell r="H23">
            <v>756</v>
          </cell>
          <cell r="I23">
            <v>738</v>
          </cell>
          <cell r="J23">
            <v>720</v>
          </cell>
          <cell r="K23">
            <v>718</v>
          </cell>
          <cell r="L23">
            <v>702</v>
          </cell>
          <cell r="M23">
            <v>689</v>
          </cell>
          <cell r="N23">
            <v>693</v>
          </cell>
          <cell r="O23">
            <v>694</v>
          </cell>
          <cell r="P23">
            <v>686</v>
          </cell>
          <cell r="T23">
            <v>20</v>
          </cell>
          <cell r="U23" t="str">
            <v>Commercial Large</v>
          </cell>
          <cell r="X23">
            <v>809</v>
          </cell>
          <cell r="Y23">
            <v>810</v>
          </cell>
          <cell r="Z23">
            <v>800</v>
          </cell>
          <cell r="AA23">
            <v>799</v>
          </cell>
          <cell r="AB23">
            <v>802</v>
          </cell>
          <cell r="AC23">
            <v>798</v>
          </cell>
          <cell r="AD23">
            <v>789</v>
          </cell>
          <cell r="AE23">
            <v>789</v>
          </cell>
          <cell r="AF23">
            <v>782</v>
          </cell>
          <cell r="AG23">
            <v>780</v>
          </cell>
          <cell r="AH23">
            <v>780</v>
          </cell>
          <cell r="AI23">
            <v>782</v>
          </cell>
        </row>
        <row r="24">
          <cell r="A24">
            <v>21</v>
          </cell>
          <cell r="B24" t="str">
            <v>Outdoor Lights</v>
          </cell>
          <cell r="C24">
            <v>55</v>
          </cell>
          <cell r="D24">
            <v>655</v>
          </cell>
          <cell r="E24">
            <v>60</v>
          </cell>
          <cell r="F24">
            <v>60</v>
          </cell>
          <cell r="G24">
            <v>60</v>
          </cell>
          <cell r="H24">
            <v>56</v>
          </cell>
          <cell r="I24">
            <v>54</v>
          </cell>
          <cell r="J24">
            <v>52</v>
          </cell>
          <cell r="K24">
            <v>52</v>
          </cell>
          <cell r="L24">
            <v>52</v>
          </cell>
          <cell r="M24">
            <v>52</v>
          </cell>
          <cell r="N24">
            <v>53</v>
          </cell>
          <cell r="O24">
            <v>52</v>
          </cell>
          <cell r="P24">
            <v>52</v>
          </cell>
          <cell r="T24">
            <v>21</v>
          </cell>
          <cell r="U24" t="str">
            <v>Outdoor Lights</v>
          </cell>
          <cell r="X24">
            <v>62</v>
          </cell>
          <cell r="Y24">
            <v>64</v>
          </cell>
          <cell r="Z24">
            <v>64</v>
          </cell>
          <cell r="AA24">
            <v>64</v>
          </cell>
          <cell r="AB24">
            <v>64</v>
          </cell>
          <cell r="AC24">
            <v>64</v>
          </cell>
          <cell r="AD24">
            <v>62</v>
          </cell>
          <cell r="AE24">
            <v>62</v>
          </cell>
          <cell r="AF24">
            <v>62</v>
          </cell>
          <cell r="AG24">
            <v>60</v>
          </cell>
          <cell r="AH24">
            <v>60</v>
          </cell>
          <cell r="AI24">
            <v>60</v>
          </cell>
        </row>
        <row r="25">
          <cell r="A25">
            <v>22</v>
          </cell>
          <cell r="B25" t="str">
            <v>Interdepartmental/Special Contracts</v>
          </cell>
          <cell r="C25">
            <v>3</v>
          </cell>
          <cell r="D25">
            <v>36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T25">
            <v>22</v>
          </cell>
          <cell r="U25" t="str">
            <v>Interdepartmental/Special Contracts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2</v>
          </cell>
          <cell r="AD25">
            <v>2</v>
          </cell>
          <cell r="AE25">
            <v>2</v>
          </cell>
          <cell r="AF25">
            <v>2</v>
          </cell>
          <cell r="AG25">
            <v>2</v>
          </cell>
          <cell r="AH25">
            <v>2</v>
          </cell>
          <cell r="AI25">
            <v>2</v>
          </cell>
        </row>
        <row r="26">
          <cell r="A26">
            <v>23</v>
          </cell>
          <cell r="B26" t="str">
            <v>Commercial Small Transp</v>
          </cell>
          <cell r="C26">
            <v>905</v>
          </cell>
          <cell r="D26">
            <v>10865</v>
          </cell>
          <cell r="E26">
            <v>793</v>
          </cell>
          <cell r="F26">
            <v>819</v>
          </cell>
          <cell r="G26">
            <v>843</v>
          </cell>
          <cell r="H26">
            <v>875</v>
          </cell>
          <cell r="I26">
            <v>897</v>
          </cell>
          <cell r="J26">
            <v>908</v>
          </cell>
          <cell r="K26">
            <v>919</v>
          </cell>
          <cell r="L26">
            <v>936</v>
          </cell>
          <cell r="M26">
            <v>957</v>
          </cell>
          <cell r="N26">
            <v>962</v>
          </cell>
          <cell r="O26">
            <v>972</v>
          </cell>
          <cell r="P26">
            <v>984</v>
          </cell>
          <cell r="T26">
            <v>23</v>
          </cell>
          <cell r="U26" t="str">
            <v>Commercial Small Transp</v>
          </cell>
          <cell r="X26">
            <v>678</v>
          </cell>
          <cell r="Y26">
            <v>681</v>
          </cell>
          <cell r="Z26">
            <v>679</v>
          </cell>
          <cell r="AA26">
            <v>686</v>
          </cell>
          <cell r="AB26">
            <v>699</v>
          </cell>
          <cell r="AC26">
            <v>711</v>
          </cell>
          <cell r="AD26">
            <v>731</v>
          </cell>
          <cell r="AE26">
            <v>750</v>
          </cell>
          <cell r="AF26">
            <v>765</v>
          </cell>
          <cell r="AG26">
            <v>773</v>
          </cell>
          <cell r="AH26">
            <v>778</v>
          </cell>
          <cell r="AI26">
            <v>793</v>
          </cell>
        </row>
        <row r="27">
          <cell r="A27">
            <v>24</v>
          </cell>
          <cell r="B27" t="str">
            <v>Commercial Large Transp</v>
          </cell>
          <cell r="C27">
            <v>1134</v>
          </cell>
          <cell r="D27">
            <v>13605</v>
          </cell>
          <cell r="E27">
            <v>1066</v>
          </cell>
          <cell r="F27">
            <v>1080</v>
          </cell>
          <cell r="G27">
            <v>1097</v>
          </cell>
          <cell r="H27">
            <v>1111</v>
          </cell>
          <cell r="I27">
            <v>1122</v>
          </cell>
          <cell r="J27">
            <v>1136</v>
          </cell>
          <cell r="K27">
            <v>1149</v>
          </cell>
          <cell r="L27">
            <v>1155</v>
          </cell>
          <cell r="M27">
            <v>1165</v>
          </cell>
          <cell r="N27">
            <v>1169</v>
          </cell>
          <cell r="O27">
            <v>1170</v>
          </cell>
          <cell r="P27">
            <v>1185</v>
          </cell>
          <cell r="T27">
            <v>24</v>
          </cell>
          <cell r="U27" t="str">
            <v>Commercial Large Transp</v>
          </cell>
          <cell r="X27">
            <v>1001</v>
          </cell>
          <cell r="Y27">
            <v>1010</v>
          </cell>
          <cell r="Z27">
            <v>1017</v>
          </cell>
          <cell r="AA27">
            <v>1018</v>
          </cell>
          <cell r="AB27">
            <v>1020</v>
          </cell>
          <cell r="AC27">
            <v>1032</v>
          </cell>
          <cell r="AD27">
            <v>1031</v>
          </cell>
          <cell r="AE27">
            <v>1037</v>
          </cell>
          <cell r="AF27">
            <v>1047</v>
          </cell>
          <cell r="AG27">
            <v>1053</v>
          </cell>
          <cell r="AH27">
            <v>1054</v>
          </cell>
          <cell r="AI27">
            <v>1059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212</v>
          </cell>
          <cell r="E28">
            <v>18</v>
          </cell>
          <cell r="F28">
            <v>19</v>
          </cell>
          <cell r="G28">
            <v>19</v>
          </cell>
          <cell r="H28">
            <v>20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18</v>
          </cell>
          <cell r="AC28">
            <v>18</v>
          </cell>
          <cell r="AD28">
            <v>18</v>
          </cell>
          <cell r="AE28">
            <v>19</v>
          </cell>
          <cell r="AF28">
            <v>18</v>
          </cell>
          <cell r="AG28">
            <v>16</v>
          </cell>
          <cell r="AH28">
            <v>20</v>
          </cell>
          <cell r="AI28">
            <v>18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710847</v>
          </cell>
          <cell r="E30">
            <v>58648</v>
          </cell>
          <cell r="F30">
            <v>58801</v>
          </cell>
          <cell r="G30">
            <v>59022</v>
          </cell>
          <cell r="H30">
            <v>59227</v>
          </cell>
          <cell r="I30">
            <v>59196</v>
          </cell>
          <cell r="J30">
            <v>59074</v>
          </cell>
          <cell r="K30">
            <v>59288</v>
          </cell>
          <cell r="L30">
            <v>59411</v>
          </cell>
          <cell r="M30">
            <v>59481</v>
          </cell>
          <cell r="N30">
            <v>59436</v>
          </cell>
          <cell r="O30">
            <v>59482</v>
          </cell>
          <cell r="P30">
            <v>59781</v>
          </cell>
          <cell r="T30">
            <v>27</v>
          </cell>
          <cell r="V30"/>
          <cell r="W30"/>
          <cell r="X30">
            <v>57545</v>
          </cell>
          <cell r="Y30">
            <v>57625</v>
          </cell>
          <cell r="Z30">
            <v>57843</v>
          </cell>
          <cell r="AA30">
            <v>57933</v>
          </cell>
          <cell r="AB30">
            <v>57915</v>
          </cell>
          <cell r="AC30">
            <v>58045</v>
          </cell>
          <cell r="AD30">
            <v>57937</v>
          </cell>
          <cell r="AE30">
            <v>58022</v>
          </cell>
          <cell r="AF30">
            <v>58108</v>
          </cell>
          <cell r="AG30">
            <v>58109</v>
          </cell>
          <cell r="AH30">
            <v>58276</v>
          </cell>
          <cell r="AI30">
            <v>58505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  <cell r="X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1297540.1694420101</v>
          </cell>
          <cell r="E33">
            <v>167122.30986464114</v>
          </cell>
          <cell r="F33">
            <v>146105.94994644076</v>
          </cell>
          <cell r="G33">
            <v>140532.47638523713</v>
          </cell>
          <cell r="H33">
            <v>127461.68078683416</v>
          </cell>
          <cell r="I33">
            <v>88046.45048203331</v>
          </cell>
          <cell r="J33">
            <v>76976.336546888691</v>
          </cell>
          <cell r="K33">
            <v>67425.747395072554</v>
          </cell>
          <cell r="L33">
            <v>60401.110137306452</v>
          </cell>
          <cell r="M33">
            <v>109034.66744571039</v>
          </cell>
          <cell r="N33">
            <v>74548.836303437536</v>
          </cell>
          <cell r="O33">
            <v>99787.321063394687</v>
          </cell>
          <cell r="P33">
            <v>140097.28308501316</v>
          </cell>
          <cell r="T33">
            <v>30</v>
          </cell>
          <cell r="U33" t="str">
            <v>Residential</v>
          </cell>
          <cell r="V33"/>
          <cell r="W33"/>
          <cell r="X33">
            <v>167417</v>
          </cell>
          <cell r="Y33">
            <v>174048</v>
          </cell>
          <cell r="Z33">
            <v>146144</v>
          </cell>
          <cell r="AA33">
            <v>114803</v>
          </cell>
          <cell r="AB33">
            <v>88279</v>
          </cell>
          <cell r="AC33">
            <v>75258.407829389427</v>
          </cell>
          <cell r="AD33">
            <v>66715.196221637932</v>
          </cell>
          <cell r="AE33">
            <v>55865</v>
          </cell>
          <cell r="AF33">
            <v>65340</v>
          </cell>
          <cell r="AG33">
            <v>77490.408024150354</v>
          </cell>
          <cell r="AH33">
            <v>97440.646606290771</v>
          </cell>
          <cell r="AI33">
            <v>127027.16914986854</v>
          </cell>
        </row>
        <row r="34">
          <cell r="A34">
            <v>31</v>
          </cell>
          <cell r="B34" t="str">
            <v>Commercial Small</v>
          </cell>
          <cell r="D34">
            <v>799924.43275878858</v>
          </cell>
          <cell r="E34">
            <v>88950.238582140417</v>
          </cell>
          <cell r="F34">
            <v>84935.241990456707</v>
          </cell>
          <cell r="G34">
            <v>82035.056967572309</v>
          </cell>
          <cell r="H34">
            <v>75505.01509397215</v>
          </cell>
          <cell r="I34">
            <v>60755.088129321259</v>
          </cell>
          <cell r="J34">
            <v>59528.970688479887</v>
          </cell>
          <cell r="K34">
            <v>54781.283474535005</v>
          </cell>
          <cell r="L34">
            <v>49876.911091635018</v>
          </cell>
          <cell r="M34">
            <v>55839.516992891222</v>
          </cell>
          <cell r="N34">
            <v>53069.334891420782</v>
          </cell>
          <cell r="O34">
            <v>61738.046547862497</v>
          </cell>
          <cell r="P34">
            <v>72909.728308501319</v>
          </cell>
          <cell r="T34">
            <v>31</v>
          </cell>
          <cell r="U34" t="str">
            <v>Commercial Small</v>
          </cell>
          <cell r="X34">
            <v>95873</v>
          </cell>
          <cell r="Y34">
            <v>97447</v>
          </cell>
          <cell r="Z34">
            <v>88811</v>
          </cell>
          <cell r="AA34">
            <v>78598</v>
          </cell>
          <cell r="AB34">
            <v>67259</v>
          </cell>
          <cell r="AC34">
            <v>64146.170026292726</v>
          </cell>
          <cell r="AD34">
            <v>56193.090855974289</v>
          </cell>
          <cell r="AE34">
            <v>53763</v>
          </cell>
          <cell r="AF34">
            <v>58650</v>
          </cell>
          <cell r="AG34">
            <v>59666.861427597622</v>
          </cell>
          <cell r="AH34">
            <v>68286.980231765512</v>
          </cell>
          <cell r="AI34">
            <v>80104.294478527605</v>
          </cell>
        </row>
        <row r="35">
          <cell r="A35">
            <v>32</v>
          </cell>
          <cell r="B35" t="str">
            <v>Commercial Large</v>
          </cell>
          <cell r="D35">
            <v>984501.21725581866</v>
          </cell>
          <cell r="E35">
            <v>111736.29369948388</v>
          </cell>
          <cell r="F35">
            <v>102677.08637647287</v>
          </cell>
          <cell r="G35">
            <v>107003.60307722271</v>
          </cell>
          <cell r="H35">
            <v>95582.52994449313</v>
          </cell>
          <cell r="I35">
            <v>75133.995520498589</v>
          </cell>
          <cell r="J35">
            <v>73197.098062128731</v>
          </cell>
          <cell r="K35">
            <v>67108.287077612229</v>
          </cell>
          <cell r="L35">
            <v>62202.746129126499</v>
          </cell>
          <cell r="M35">
            <v>59962.89804265264</v>
          </cell>
          <cell r="N35">
            <v>61167.68916155419</v>
          </cell>
          <cell r="O35">
            <v>79279.189794527221</v>
          </cell>
          <cell r="P35">
            <v>89449.800370045763</v>
          </cell>
          <cell r="T35">
            <v>32</v>
          </cell>
          <cell r="U35" t="str">
            <v>Commercial Large</v>
          </cell>
          <cell r="X35">
            <v>127701</v>
          </cell>
          <cell r="Y35">
            <v>125865</v>
          </cell>
          <cell r="Z35">
            <v>131837</v>
          </cell>
          <cell r="AA35">
            <v>107596</v>
          </cell>
          <cell r="AB35">
            <v>111008</v>
          </cell>
          <cell r="AC35">
            <v>82157.401889181026</v>
          </cell>
          <cell r="AD35">
            <v>74928.657123381054</v>
          </cell>
          <cell r="AE35">
            <v>70670</v>
          </cell>
          <cell r="AF35">
            <v>76905</v>
          </cell>
          <cell r="AG35">
            <v>76628.20138280261</v>
          </cell>
          <cell r="AH35">
            <v>93808.25786347258</v>
          </cell>
          <cell r="AI35">
            <v>101072.64582724705</v>
          </cell>
        </row>
        <row r="36">
          <cell r="A36">
            <v>33</v>
          </cell>
          <cell r="B36" t="str">
            <v>Outdoor Lights</v>
          </cell>
          <cell r="D36">
            <v>18362.255331580483</v>
          </cell>
          <cell r="E36">
            <v>1646.0220079851981</v>
          </cell>
          <cell r="F36">
            <v>1646.0220079851981</v>
          </cell>
          <cell r="G36">
            <v>1580.5823351835622</v>
          </cell>
          <cell r="H36">
            <v>1589.9308598695102</v>
          </cell>
          <cell r="I36">
            <v>1524.4911870678741</v>
          </cell>
          <cell r="J36">
            <v>1498.1984613886455</v>
          </cell>
          <cell r="K36">
            <v>1498.1984613886455</v>
          </cell>
          <cell r="L36">
            <v>1498.1984613886455</v>
          </cell>
          <cell r="M36">
            <v>1498.1984613886455</v>
          </cell>
          <cell r="N36">
            <v>1460.8043626448534</v>
          </cell>
          <cell r="O36">
            <v>1460.8043626448534</v>
          </cell>
          <cell r="P36">
            <v>1460.8043626448534</v>
          </cell>
          <cell r="T36">
            <v>33</v>
          </cell>
          <cell r="U36" t="str">
            <v>Outdoor Lights</v>
          </cell>
          <cell r="X36">
            <v>1671</v>
          </cell>
          <cell r="Y36">
            <v>1719</v>
          </cell>
          <cell r="Z36">
            <v>1719</v>
          </cell>
          <cell r="AA36">
            <v>1719</v>
          </cell>
          <cell r="AB36">
            <v>1719</v>
          </cell>
          <cell r="AC36">
            <v>1719.3709221930083</v>
          </cell>
          <cell r="AD36">
            <v>1690.4489239458564</v>
          </cell>
          <cell r="AE36">
            <v>1690</v>
          </cell>
          <cell r="AF36">
            <v>1690</v>
          </cell>
          <cell r="AG36">
            <v>1646.0220079851981</v>
          </cell>
          <cell r="AH36">
            <v>1646.0220079851981</v>
          </cell>
          <cell r="AI36">
            <v>1646.0220079851981</v>
          </cell>
        </row>
        <row r="37">
          <cell r="A37">
            <v>34</v>
          </cell>
          <cell r="B37" t="str">
            <v>Interdepartmental/Special Contracts</v>
          </cell>
          <cell r="D37">
            <v>1795464.9654299347</v>
          </cell>
          <cell r="E37">
            <v>156877.31619437141</v>
          </cell>
          <cell r="F37">
            <v>143103.33138572404</v>
          </cell>
          <cell r="G37">
            <v>168188.31823936119</v>
          </cell>
          <cell r="H37">
            <v>158180.79170318431</v>
          </cell>
          <cell r="I37">
            <v>162190.17820625182</v>
          </cell>
          <cell r="J37">
            <v>149222.46080436264</v>
          </cell>
          <cell r="K37">
            <v>112924.40743986756</v>
          </cell>
          <cell r="L37">
            <v>120368.30265848669</v>
          </cell>
          <cell r="M37">
            <v>138424.64212678935</v>
          </cell>
          <cell r="N37">
            <v>160203.00516116468</v>
          </cell>
          <cell r="O37">
            <v>157724.96835134871</v>
          </cell>
          <cell r="P37">
            <v>168057.2431590223</v>
          </cell>
          <cell r="T37">
            <v>34</v>
          </cell>
          <cell r="U37" t="str">
            <v>Interdepartmental/Special Contracts</v>
          </cell>
          <cell r="X37">
            <v>0</v>
          </cell>
          <cell r="Y37">
            <v>0</v>
          </cell>
          <cell r="Z37"/>
          <cell r="AA37"/>
          <cell r="AB37"/>
          <cell r="AC37">
            <v>0</v>
          </cell>
          <cell r="AD37">
            <v>137038.81098451652</v>
          </cell>
          <cell r="AE37">
            <v>170778.94342194955</v>
          </cell>
          <cell r="AF37">
            <v>81533.096698802212</v>
          </cell>
          <cell r="AG37">
            <v>143005.30918297789</v>
          </cell>
          <cell r="AH37">
            <v>150062.16184633362</v>
          </cell>
          <cell r="AI37">
            <v>145625.193300224</v>
          </cell>
        </row>
        <row r="38">
          <cell r="A38">
            <v>35</v>
          </cell>
          <cell r="B38" t="str">
            <v>Unbilled</v>
          </cell>
          <cell r="D38">
            <v>29040.57970591099</v>
          </cell>
          <cell r="E38">
            <v>6370</v>
          </cell>
          <cell r="F38">
            <v>0</v>
          </cell>
          <cell r="G38">
            <v>0</v>
          </cell>
          <cell r="H38">
            <v>-17949</v>
          </cell>
          <cell r="I38">
            <v>0</v>
          </cell>
          <cell r="J38">
            <v>-5036.4202940890054</v>
          </cell>
          <cell r="K38">
            <v>-21569</v>
          </cell>
          <cell r="L38">
            <v>0</v>
          </cell>
          <cell r="M38">
            <v>-24505</v>
          </cell>
          <cell r="N38">
            <v>23574</v>
          </cell>
          <cell r="O38">
            <v>35817</v>
          </cell>
          <cell r="P38">
            <v>32339</v>
          </cell>
          <cell r="T38">
            <v>35</v>
          </cell>
          <cell r="U38" t="str">
            <v>Unbilled</v>
          </cell>
          <cell r="X38">
            <v>-13496.932515337425</v>
          </cell>
          <cell r="Y38">
            <v>54476.579998052395</v>
          </cell>
          <cell r="Z38">
            <v>-4500.925114422047</v>
          </cell>
          <cell r="AA38">
            <v>-46324.861232836694</v>
          </cell>
          <cell r="AB38">
            <v>0</v>
          </cell>
          <cell r="AC38"/>
          <cell r="AD38"/>
          <cell r="AE38"/>
          <cell r="AF38"/>
          <cell r="AG38"/>
          <cell r="AH38"/>
          <cell r="AI38"/>
        </row>
        <row r="39">
          <cell r="A39">
            <v>36</v>
          </cell>
          <cell r="B39" t="str">
            <v>Commercial Small Transp</v>
          </cell>
          <cell r="D39">
            <v>480719.54425942153</v>
          </cell>
          <cell r="E39">
            <v>39610.478138085498</v>
          </cell>
          <cell r="F39">
            <v>38615.834063686823</v>
          </cell>
          <cell r="G39">
            <v>40376.278118609407</v>
          </cell>
          <cell r="H39">
            <v>42682.929204401597</v>
          </cell>
          <cell r="I39">
            <v>36585.451358457496</v>
          </cell>
          <cell r="J39">
            <v>38135.35884701529</v>
          </cell>
          <cell r="K39">
            <v>37049.761417859576</v>
          </cell>
          <cell r="L39">
            <v>36316.291751874574</v>
          </cell>
          <cell r="M39">
            <v>36551.855097867367</v>
          </cell>
          <cell r="N39">
            <v>38363.91079949362</v>
          </cell>
          <cell r="O39">
            <v>45156.100886162232</v>
          </cell>
          <cell r="P39">
            <v>51275.294575908076</v>
          </cell>
          <cell r="T39">
            <v>36</v>
          </cell>
          <cell r="U39" t="str">
            <v>Commercial Small Transp</v>
          </cell>
          <cell r="X39">
            <v>35412</v>
          </cell>
          <cell r="Y39">
            <v>33968</v>
          </cell>
          <cell r="Z39">
            <v>33572</v>
          </cell>
          <cell r="AA39">
            <v>30725</v>
          </cell>
          <cell r="AB39">
            <v>27724</v>
          </cell>
          <cell r="AC39">
            <v>28532.957444736585</v>
          </cell>
          <cell r="AD39">
            <v>25955.32865907099</v>
          </cell>
          <cell r="AE39">
            <v>26129</v>
          </cell>
          <cell r="AF39">
            <v>28691</v>
          </cell>
          <cell r="AG39">
            <v>28617.274051765442</v>
          </cell>
          <cell r="AH39">
            <v>31648.748661018599</v>
          </cell>
          <cell r="AI39">
            <v>32428.084526244034</v>
          </cell>
        </row>
        <row r="40">
          <cell r="A40">
            <v>37</v>
          </cell>
          <cell r="B40" t="str">
            <v>Commercial Large Transp</v>
          </cell>
          <cell r="D40">
            <v>3025769.6951991431</v>
          </cell>
          <cell r="E40">
            <v>291922.09562761709</v>
          </cell>
          <cell r="F40">
            <v>268504.91771350667</v>
          </cell>
          <cell r="G40">
            <v>286086.76599474146</v>
          </cell>
          <cell r="H40">
            <v>250198.36400817995</v>
          </cell>
          <cell r="I40">
            <v>243418.93076248904</v>
          </cell>
          <cell r="J40">
            <v>240632.68088421461</v>
          </cell>
          <cell r="K40">
            <v>237388.35329632874</v>
          </cell>
          <cell r="L40">
            <v>229373.64884604147</v>
          </cell>
          <cell r="M40">
            <v>213083.64981984615</v>
          </cell>
          <cell r="N40">
            <v>245338.39711753823</v>
          </cell>
          <cell r="O40">
            <v>244659.1683708248</v>
          </cell>
          <cell r="P40">
            <v>275162.7227578148</v>
          </cell>
          <cell r="T40">
            <v>37</v>
          </cell>
          <cell r="U40" t="str">
            <v>Commercial Large Transp</v>
          </cell>
          <cell r="X40">
            <v>258799</v>
          </cell>
          <cell r="Y40">
            <v>249821</v>
          </cell>
          <cell r="Z40">
            <v>259558</v>
          </cell>
          <cell r="AA40">
            <v>244799</v>
          </cell>
          <cell r="AB40">
            <v>229174</v>
          </cell>
          <cell r="AC40">
            <v>248358.84019865617</v>
          </cell>
          <cell r="AD40">
            <v>242306.58584088032</v>
          </cell>
          <cell r="AE40">
            <v>239021</v>
          </cell>
          <cell r="AF40">
            <v>226147</v>
          </cell>
          <cell r="AG40">
            <v>246655.76005453305</v>
          </cell>
          <cell r="AH40">
            <v>251051.61164670368</v>
          </cell>
          <cell r="AI40">
            <v>273962.6059012562</v>
          </cell>
        </row>
        <row r="41">
          <cell r="A41">
            <v>38</v>
          </cell>
          <cell r="B41" t="str">
            <v>Interruptible Transp</v>
          </cell>
          <cell r="D41">
            <v>862706.88479890942</v>
          </cell>
          <cell r="E41">
            <v>69243.645924627519</v>
          </cell>
          <cell r="F41">
            <v>58727.918979452719</v>
          </cell>
          <cell r="G41">
            <v>65021.715843801736</v>
          </cell>
          <cell r="H41">
            <v>71748.174116272276</v>
          </cell>
          <cell r="I41">
            <v>74609.991235758105</v>
          </cell>
          <cell r="J41">
            <v>72171.876521569779</v>
          </cell>
          <cell r="K41">
            <v>76800.856948096218</v>
          </cell>
          <cell r="L41">
            <v>79127.373648846042</v>
          </cell>
          <cell r="M41">
            <v>62629.272567922875</v>
          </cell>
          <cell r="N41">
            <v>76687.116564417171</v>
          </cell>
          <cell r="O41">
            <v>76549.907488557801</v>
          </cell>
          <cell r="P41">
            <v>79389.034959587108</v>
          </cell>
          <cell r="T41">
            <v>38</v>
          </cell>
          <cell r="U41" t="str">
            <v>Interruptible Transp</v>
          </cell>
          <cell r="X41">
            <v>60843</v>
          </cell>
          <cell r="Y41">
            <v>61828</v>
          </cell>
          <cell r="Z41">
            <v>62295</v>
          </cell>
          <cell r="AA41">
            <v>60962</v>
          </cell>
          <cell r="AB41">
            <v>56201</v>
          </cell>
          <cell r="AC41">
            <v>51562.414061739219</v>
          </cell>
          <cell r="AD41">
            <v>53369.802317655078</v>
          </cell>
          <cell r="AE41">
            <v>53377</v>
          </cell>
          <cell r="AF41">
            <v>56234</v>
          </cell>
          <cell r="AG41">
            <v>58200.311617489533</v>
          </cell>
          <cell r="AH41">
            <v>80125.815561398384</v>
          </cell>
          <cell r="AI41">
            <v>62833.382023566075</v>
          </cell>
        </row>
        <row r="42">
          <cell r="A42">
            <v>39</v>
          </cell>
          <cell r="D42">
            <v>9294029.7441815156</v>
          </cell>
          <cell r="E42">
            <v>933478.40003895212</v>
          </cell>
          <cell r="F42">
            <v>844316.30246372579</v>
          </cell>
          <cell r="G42">
            <v>890824.79696172953</v>
          </cell>
          <cell r="H42">
            <v>805000.41571720713</v>
          </cell>
          <cell r="I42">
            <v>742264.5768818775</v>
          </cell>
          <cell r="J42">
            <v>706326.56052195933</v>
          </cell>
          <cell r="K42">
            <v>633407.89551076049</v>
          </cell>
          <cell r="L42">
            <v>639164.58272470534</v>
          </cell>
          <cell r="M42">
            <v>652519.70055506856</v>
          </cell>
          <cell r="N42">
            <v>734413.09436167101</v>
          </cell>
          <cell r="O42">
            <v>802172.50686532282</v>
          </cell>
          <cell r="P42">
            <v>910140.91157853743</v>
          </cell>
          <cell r="T42">
            <v>39</v>
          </cell>
          <cell r="U42"/>
          <cell r="V42"/>
          <cell r="W42"/>
          <cell r="X42">
            <v>734219.06748466264</v>
          </cell>
          <cell r="Y42">
            <v>799172.57999805245</v>
          </cell>
          <cell r="Z42">
            <v>719435.07488557789</v>
          </cell>
          <cell r="AA42">
            <v>592877.13876716327</v>
          </cell>
          <cell r="AB42">
            <v>581364</v>
          </cell>
          <cell r="AC42">
            <v>551735.5623721882</v>
          </cell>
          <cell r="AD42">
            <v>658197.92092706205</v>
          </cell>
          <cell r="AE42">
            <v>671293.94342194952</v>
          </cell>
          <cell r="AF42">
            <v>595190.0966988022</v>
          </cell>
          <cell r="AG42">
            <v>691910.14774930163</v>
          </cell>
          <cell r="AH42">
            <v>774070.24442496838</v>
          </cell>
          <cell r="AI42">
            <v>824699.39721491875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N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673</v>
          </cell>
          <cell r="F45">
            <v>671</v>
          </cell>
          <cell r="G45">
            <v>674</v>
          </cell>
          <cell r="H45">
            <v>679</v>
          </cell>
          <cell r="I45">
            <v>672</v>
          </cell>
          <cell r="J45">
            <v>679</v>
          </cell>
          <cell r="K45">
            <v>675</v>
          </cell>
          <cell r="L45">
            <v>673</v>
          </cell>
          <cell r="M45">
            <v>670</v>
          </cell>
          <cell r="N45">
            <v>671</v>
          </cell>
          <cell r="O45">
            <v>670</v>
          </cell>
          <cell r="P45">
            <v>672</v>
          </cell>
          <cell r="T45">
            <v>42</v>
          </cell>
          <cell r="U45" t="str">
            <v>TS1 - RS</v>
          </cell>
          <cell r="X45">
            <v>675</v>
          </cell>
          <cell r="Y45">
            <v>670</v>
          </cell>
          <cell r="Z45">
            <v>677</v>
          </cell>
          <cell r="AA45">
            <v>671</v>
          </cell>
          <cell r="AB45">
            <v>670</v>
          </cell>
          <cell r="AC45">
            <v>672</v>
          </cell>
          <cell r="AD45">
            <v>669</v>
          </cell>
          <cell r="AE45">
            <v>670</v>
          </cell>
          <cell r="AF45">
            <v>674</v>
          </cell>
          <cell r="AG45">
            <v>670</v>
          </cell>
          <cell r="AH45">
            <v>670</v>
          </cell>
          <cell r="AI45">
            <v>675</v>
          </cell>
        </row>
        <row r="46">
          <cell r="A46">
            <v>43</v>
          </cell>
          <cell r="B46" t="str">
            <v>TS1 - Com</v>
          </cell>
          <cell r="E46"/>
          <cell r="F46"/>
          <cell r="G46"/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43</v>
          </cell>
          <cell r="U46" t="str">
            <v>TS1 - Com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24</v>
          </cell>
          <cell r="G47">
            <v>24</v>
          </cell>
          <cell r="H47">
            <v>24</v>
          </cell>
          <cell r="I47">
            <v>23</v>
          </cell>
          <cell r="J47">
            <v>23</v>
          </cell>
          <cell r="K47">
            <v>24</v>
          </cell>
          <cell r="L47">
            <v>24</v>
          </cell>
          <cell r="M47">
            <v>23</v>
          </cell>
          <cell r="N47">
            <v>23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25</v>
          </cell>
          <cell r="Z47">
            <v>25</v>
          </cell>
          <cell r="AA47">
            <v>25</v>
          </cell>
          <cell r="AB47">
            <v>25</v>
          </cell>
          <cell r="AC47">
            <v>25</v>
          </cell>
          <cell r="AD47">
            <v>24</v>
          </cell>
          <cell r="AE47">
            <v>24</v>
          </cell>
          <cell r="AF47">
            <v>24</v>
          </cell>
          <cell r="AG47">
            <v>24</v>
          </cell>
          <cell r="AH47">
            <v>24</v>
          </cell>
          <cell r="AI47">
            <v>25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1</v>
          </cell>
          <cell r="K49">
            <v>1</v>
          </cell>
          <cell r="L49">
            <v>1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700</v>
          </cell>
          <cell r="F50">
            <v>698</v>
          </cell>
          <cell r="G50">
            <v>701</v>
          </cell>
          <cell r="H50">
            <v>706</v>
          </cell>
          <cell r="I50">
            <v>698</v>
          </cell>
          <cell r="J50">
            <v>704</v>
          </cell>
          <cell r="K50">
            <v>701</v>
          </cell>
          <cell r="L50">
            <v>699</v>
          </cell>
          <cell r="M50">
            <v>696</v>
          </cell>
          <cell r="N50">
            <v>697</v>
          </cell>
          <cell r="O50">
            <v>696</v>
          </cell>
          <cell r="P50">
            <v>698</v>
          </cell>
          <cell r="T50">
            <v>47</v>
          </cell>
          <cell r="U50"/>
          <cell r="V50"/>
          <cell r="W50"/>
          <cell r="X50">
            <v>702</v>
          </cell>
          <cell r="Y50">
            <v>698</v>
          </cell>
          <cell r="Z50">
            <v>705</v>
          </cell>
          <cell r="AA50">
            <v>699</v>
          </cell>
          <cell r="AB50">
            <v>698</v>
          </cell>
          <cell r="AC50">
            <v>700</v>
          </cell>
          <cell r="AD50">
            <v>696</v>
          </cell>
          <cell r="AE50">
            <v>697</v>
          </cell>
          <cell r="AF50">
            <v>701</v>
          </cell>
          <cell r="AG50">
            <v>697</v>
          </cell>
          <cell r="AH50">
            <v>697</v>
          </cell>
          <cell r="AI50">
            <v>703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10574.057843996496</v>
          </cell>
          <cell r="E53">
            <v>1117.8303632291363</v>
          </cell>
          <cell r="F53">
            <v>372.2855195247833</v>
          </cell>
          <cell r="G53">
            <v>999.31833674164966</v>
          </cell>
          <cell r="H53">
            <v>923.16681273736492</v>
          </cell>
          <cell r="I53">
            <v>834.5505891518161</v>
          </cell>
          <cell r="J53">
            <v>948.87525562372184</v>
          </cell>
          <cell r="K53">
            <v>808.93952673093781</v>
          </cell>
          <cell r="L53">
            <v>842.53578732106337</v>
          </cell>
          <cell r="M53">
            <v>833.38202356607269</v>
          </cell>
          <cell r="N53">
            <v>892.68672704255528</v>
          </cell>
          <cell r="O53">
            <v>960.65829194663547</v>
          </cell>
          <cell r="P53">
            <v>1039.8286103807577</v>
          </cell>
          <cell r="T53">
            <v>50</v>
          </cell>
          <cell r="U53" t="str">
            <v>TS1 - RS</v>
          </cell>
          <cell r="V53"/>
          <cell r="W53"/>
          <cell r="X53">
            <v>1123</v>
          </cell>
          <cell r="Y53">
            <v>1008</v>
          </cell>
          <cell r="Z53">
            <v>1056</v>
          </cell>
          <cell r="AA53">
            <v>810</v>
          </cell>
          <cell r="AB53">
            <v>680</v>
          </cell>
          <cell r="AC53">
            <v>1145.7220761515241</v>
          </cell>
          <cell r="AD53">
            <v>798</v>
          </cell>
          <cell r="AE53">
            <v>835</v>
          </cell>
          <cell r="AF53">
            <v>848.76813711169541</v>
          </cell>
          <cell r="AG53">
            <v>851.0078878177037</v>
          </cell>
          <cell r="AH53">
            <v>846.82052780212291</v>
          </cell>
          <cell r="AI53">
            <v>1013.4385042360502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/>
          <cell r="G54"/>
          <cell r="H54">
            <v>0</v>
          </cell>
          <cell r="I54"/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</row>
        <row r="55">
          <cell r="A55">
            <v>52</v>
          </cell>
          <cell r="B55" t="str">
            <v>TS2</v>
          </cell>
          <cell r="D55">
            <v>7543.4803778362057</v>
          </cell>
          <cell r="E55">
            <v>761.80738143928329</v>
          </cell>
          <cell r="F55">
            <v>39.24432758788587</v>
          </cell>
          <cell r="G55">
            <v>705.42409192715945</v>
          </cell>
          <cell r="H55">
            <v>675.2361476287856</v>
          </cell>
          <cell r="I55">
            <v>647.87223682929209</v>
          </cell>
          <cell r="J55">
            <v>687.60346674457105</v>
          </cell>
          <cell r="K55">
            <v>576.10283377154542</v>
          </cell>
          <cell r="L55">
            <v>673.58067971564901</v>
          </cell>
          <cell r="M55">
            <v>700.74982958418536</v>
          </cell>
          <cell r="N55">
            <v>710.68263706300513</v>
          </cell>
          <cell r="O55">
            <v>675.91781088713606</v>
          </cell>
          <cell r="P55">
            <v>689.25893465770764</v>
          </cell>
          <cell r="T55">
            <v>52</v>
          </cell>
          <cell r="U55" t="str">
            <v>TS2</v>
          </cell>
          <cell r="X55">
            <v>473</v>
          </cell>
          <cell r="Y55">
            <v>670</v>
          </cell>
          <cell r="Z55">
            <v>342</v>
          </cell>
          <cell r="AA55">
            <v>1078</v>
          </cell>
          <cell r="AB55">
            <v>678</v>
          </cell>
          <cell r="AC55">
            <v>761.21530820917326</v>
          </cell>
          <cell r="AD55">
            <v>630</v>
          </cell>
          <cell r="AE55">
            <v>684</v>
          </cell>
          <cell r="AF55">
            <v>653.81244522348811</v>
          </cell>
          <cell r="AG55">
            <v>678.35232252410162</v>
          </cell>
          <cell r="AH55">
            <v>542.31181225046259</v>
          </cell>
          <cell r="AI55">
            <v>106.33946830265849</v>
          </cell>
        </row>
        <row r="56">
          <cell r="A56">
            <v>53</v>
          </cell>
          <cell r="B56" t="str">
            <v>TS3</v>
          </cell>
          <cell r="D56">
            <v>218.22962313759857</v>
          </cell>
          <cell r="E56">
            <v>29.214139643587497</v>
          </cell>
          <cell r="F56">
            <v>1.3633265167007498</v>
          </cell>
          <cell r="G56">
            <v>17.723244717109747</v>
          </cell>
          <cell r="H56">
            <v>11.685655857434998</v>
          </cell>
          <cell r="I56">
            <v>23.176550783912745</v>
          </cell>
          <cell r="J56">
            <v>17.041581458759374</v>
          </cell>
          <cell r="K56">
            <v>15.191352614665497</v>
          </cell>
          <cell r="L56">
            <v>22.105365663647873</v>
          </cell>
          <cell r="M56">
            <v>19.670854026682246</v>
          </cell>
          <cell r="N56">
            <v>15.386113545622749</v>
          </cell>
          <cell r="O56">
            <v>6.3297302561106239</v>
          </cell>
          <cell r="P56">
            <v>39.341708053364492</v>
          </cell>
          <cell r="T56">
            <v>53</v>
          </cell>
          <cell r="U56" t="str">
            <v>TS3</v>
          </cell>
          <cell r="X56">
            <v>16</v>
          </cell>
          <cell r="Y56">
            <v>9</v>
          </cell>
          <cell r="Z56">
            <v>24</v>
          </cell>
          <cell r="AA56">
            <v>14</v>
          </cell>
          <cell r="AB56">
            <v>14</v>
          </cell>
          <cell r="AC56">
            <v>15.818482812347842</v>
          </cell>
          <cell r="AD56">
            <v>23</v>
          </cell>
          <cell r="AE56">
            <v>17</v>
          </cell>
          <cell r="AF56">
            <v>11.296133995520499</v>
          </cell>
          <cell r="AG56">
            <v>25.416301489921121</v>
          </cell>
          <cell r="AH56">
            <v>0.77904372382899989</v>
          </cell>
          <cell r="AI56">
            <v>7.7904372382899991</v>
          </cell>
        </row>
        <row r="57">
          <cell r="A57">
            <v>54</v>
          </cell>
          <cell r="B57" t="str">
            <v>TS4</v>
          </cell>
          <cell r="D57">
            <v>55553.218424384067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1420.0019476093096</v>
          </cell>
          <cell r="J57">
            <v>0</v>
          </cell>
          <cell r="K57">
            <v>24665.595481546403</v>
          </cell>
          <cell r="L57">
            <v>15413.380075956762</v>
          </cell>
          <cell r="M57">
            <v>5939.4293504722955</v>
          </cell>
          <cell r="N57">
            <v>8114.5194274028627</v>
          </cell>
          <cell r="O57">
            <v>0</v>
          </cell>
          <cell r="P57">
            <v>0.29214139643587494</v>
          </cell>
          <cell r="T57">
            <v>54</v>
          </cell>
          <cell r="U57" t="str">
            <v>TS4</v>
          </cell>
          <cell r="X57">
            <v>0</v>
          </cell>
          <cell r="Y57">
            <v>1704</v>
          </cell>
          <cell r="Z57">
            <v>38465</v>
          </cell>
          <cell r="AA57">
            <v>12363</v>
          </cell>
          <cell r="AB57">
            <v>4954</v>
          </cell>
          <cell r="AC57">
            <v>11203.086960755672</v>
          </cell>
          <cell r="AD57">
            <v>21467</v>
          </cell>
          <cell r="AE57">
            <v>13178</v>
          </cell>
          <cell r="AF57">
            <v>16329.632875645146</v>
          </cell>
          <cell r="AG57">
            <v>6520.4985879832502</v>
          </cell>
          <cell r="AH57">
            <v>3958.1263998441914</v>
          </cell>
          <cell r="AI57">
            <v>1041.7762196903302</v>
          </cell>
        </row>
        <row r="58">
          <cell r="A58">
            <v>55</v>
          </cell>
          <cell r="D58">
            <v>73888.986269354369</v>
          </cell>
          <cell r="E58">
            <v>1908.8518843120071</v>
          </cell>
          <cell r="F58">
            <v>412.89317362936993</v>
          </cell>
          <cell r="G58">
            <v>1722.465673385919</v>
          </cell>
          <cell r="H58">
            <v>1610.0886162235856</v>
          </cell>
          <cell r="I58">
            <v>2925.6013243743305</v>
          </cell>
          <cell r="J58">
            <v>1653.5203038270522</v>
          </cell>
          <cell r="K58">
            <v>26065.829194663551</v>
          </cell>
          <cell r="L58">
            <v>16951.601908657121</v>
          </cell>
          <cell r="M58">
            <v>7493.2320576492357</v>
          </cell>
          <cell r="N58">
            <v>9733.274905054046</v>
          </cell>
          <cell r="O58">
            <v>1642.9058330898822</v>
          </cell>
          <cell r="P58">
            <v>1768.7213944882658</v>
          </cell>
          <cell r="T58">
            <v>55</v>
          </cell>
          <cell r="U58"/>
          <cell r="V58"/>
          <cell r="W58"/>
          <cell r="X58">
            <v>1612</v>
          </cell>
          <cell r="Y58">
            <v>3391</v>
          </cell>
          <cell r="Z58">
            <v>39887</v>
          </cell>
          <cell r="AA58">
            <v>14265</v>
          </cell>
          <cell r="AB58">
            <v>6326</v>
          </cell>
          <cell r="AC58">
            <v>13125.842827928718</v>
          </cell>
          <cell r="AD58">
            <v>22918</v>
          </cell>
          <cell r="AE58">
            <v>14714</v>
          </cell>
          <cell r="AF58">
            <v>17843.50959197585</v>
          </cell>
          <cell r="AG58">
            <v>8075.2750998149768</v>
          </cell>
          <cell r="AH58">
            <v>5348.0377836206062</v>
          </cell>
          <cell r="AI58">
            <v>2169.344629467329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  <cell r="AA59"/>
          <cell r="AB59"/>
          <cell r="AC59"/>
          <cell r="AD59"/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612</v>
          </cell>
          <cell r="F62">
            <v>613</v>
          </cell>
          <cell r="G62">
            <v>616</v>
          </cell>
          <cell r="H62">
            <v>608</v>
          </cell>
          <cell r="I62">
            <v>592</v>
          </cell>
          <cell r="J62">
            <v>583</v>
          </cell>
          <cell r="K62">
            <v>575</v>
          </cell>
          <cell r="L62">
            <v>571</v>
          </cell>
          <cell r="M62">
            <v>571</v>
          </cell>
          <cell r="N62">
            <v>566</v>
          </cell>
          <cell r="O62">
            <v>574</v>
          </cell>
          <cell r="P62">
            <v>576</v>
          </cell>
          <cell r="T62">
            <v>59</v>
          </cell>
          <cell r="U62" t="str">
            <v>Residential</v>
          </cell>
          <cell r="V62"/>
          <cell r="W62"/>
          <cell r="X62">
            <v>628</v>
          </cell>
          <cell r="Y62">
            <v>622</v>
          </cell>
          <cell r="Z62">
            <v>621</v>
          </cell>
          <cell r="AA62">
            <v>620</v>
          </cell>
          <cell r="AB62">
            <v>614</v>
          </cell>
          <cell r="AC62">
            <v>602</v>
          </cell>
          <cell r="AD62">
            <v>600</v>
          </cell>
          <cell r="AE62">
            <v>603</v>
          </cell>
          <cell r="AF62">
            <v>599</v>
          </cell>
          <cell r="AG62">
            <v>595</v>
          </cell>
          <cell r="AH62">
            <v>600</v>
          </cell>
          <cell r="AI62">
            <v>603</v>
          </cell>
        </row>
        <row r="63">
          <cell r="A63">
            <v>60</v>
          </cell>
          <cell r="B63" t="str">
            <v>Commercial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T63">
            <v>60</v>
          </cell>
          <cell r="U63" t="str">
            <v>Commercial</v>
          </cell>
          <cell r="X63">
            <v>19</v>
          </cell>
          <cell r="Y63">
            <v>19</v>
          </cell>
          <cell r="Z63">
            <v>19</v>
          </cell>
          <cell r="AA63">
            <v>19</v>
          </cell>
          <cell r="AB63">
            <v>19</v>
          </cell>
          <cell r="AC63">
            <v>19</v>
          </cell>
          <cell r="AD63">
            <v>19</v>
          </cell>
          <cell r="AE63">
            <v>19</v>
          </cell>
          <cell r="AF63">
            <v>18</v>
          </cell>
          <cell r="AG63">
            <v>18</v>
          </cell>
          <cell r="AH63">
            <v>19</v>
          </cell>
          <cell r="AI63">
            <v>19</v>
          </cell>
        </row>
        <row r="64">
          <cell r="A64">
            <v>61</v>
          </cell>
          <cell r="B64" t="str">
            <v>Commercial Small Transp</v>
          </cell>
          <cell r="E64">
            <v>19</v>
          </cell>
          <cell r="F64">
            <v>18</v>
          </cell>
          <cell r="G64">
            <v>18</v>
          </cell>
          <cell r="H64">
            <v>19</v>
          </cell>
          <cell r="I64">
            <v>20</v>
          </cell>
          <cell r="J64">
            <v>19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19</v>
          </cell>
          <cell r="T64">
            <v>61</v>
          </cell>
          <cell r="U64" t="str">
            <v>Special Contract</v>
          </cell>
          <cell r="X64">
            <v>7</v>
          </cell>
          <cell r="Y64">
            <v>7</v>
          </cell>
          <cell r="Z64">
            <v>7</v>
          </cell>
          <cell r="AA64">
            <v>7</v>
          </cell>
          <cell r="AB64">
            <v>7</v>
          </cell>
          <cell r="AC64">
            <v>7</v>
          </cell>
          <cell r="AD64">
            <v>7</v>
          </cell>
          <cell r="AE64">
            <v>7</v>
          </cell>
          <cell r="AF64">
            <v>7</v>
          </cell>
          <cell r="AG64">
            <v>7</v>
          </cell>
          <cell r="AH64">
            <v>7</v>
          </cell>
          <cell r="AI64">
            <v>7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/>
          <cell r="E66">
            <v>638</v>
          </cell>
          <cell r="F66">
            <v>638</v>
          </cell>
          <cell r="G66">
            <v>641</v>
          </cell>
          <cell r="H66">
            <v>634</v>
          </cell>
          <cell r="I66">
            <v>619</v>
          </cell>
          <cell r="J66">
            <v>609</v>
          </cell>
          <cell r="K66">
            <v>602</v>
          </cell>
          <cell r="L66">
            <v>598</v>
          </cell>
          <cell r="M66">
            <v>598</v>
          </cell>
          <cell r="N66">
            <v>593</v>
          </cell>
          <cell r="O66">
            <v>601</v>
          </cell>
          <cell r="P66">
            <v>602</v>
          </cell>
          <cell r="T66">
            <v>63</v>
          </cell>
          <cell r="W66"/>
          <cell r="X66">
            <v>654</v>
          </cell>
          <cell r="Y66">
            <v>648</v>
          </cell>
          <cell r="Z66">
            <v>647</v>
          </cell>
          <cell r="AA66">
            <v>646</v>
          </cell>
          <cell r="AB66">
            <v>640</v>
          </cell>
          <cell r="AC66">
            <v>628</v>
          </cell>
          <cell r="AD66">
            <v>626</v>
          </cell>
          <cell r="AE66">
            <v>629</v>
          </cell>
          <cell r="AF66">
            <v>624</v>
          </cell>
          <cell r="AG66">
            <v>620</v>
          </cell>
          <cell r="AH66">
            <v>626</v>
          </cell>
          <cell r="AI66">
            <v>629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6925.1144220469378</v>
          </cell>
          <cell r="E69">
            <v>774.9537442788976</v>
          </cell>
          <cell r="F69">
            <v>822.18327003603076</v>
          </cell>
          <cell r="G69">
            <v>630.34375304313949</v>
          </cell>
          <cell r="H69">
            <v>587.39896776706587</v>
          </cell>
          <cell r="I69">
            <v>439.38066023955594</v>
          </cell>
          <cell r="J69">
            <v>470.25026779628007</v>
          </cell>
          <cell r="K69">
            <v>402.37608335767845</v>
          </cell>
          <cell r="L69">
            <v>404.32369266725095</v>
          </cell>
          <cell r="M69">
            <v>492.35563345992796</v>
          </cell>
          <cell r="N69">
            <v>494.49800370045767</v>
          </cell>
          <cell r="O69">
            <v>548.54416204109452</v>
          </cell>
          <cell r="P69">
            <v>858.50618365955791</v>
          </cell>
          <cell r="T69">
            <v>66</v>
          </cell>
          <cell r="U69" t="str">
            <v>Residential</v>
          </cell>
          <cell r="V69"/>
          <cell r="W69"/>
          <cell r="X69">
            <v>842</v>
          </cell>
          <cell r="Y69">
            <v>1136</v>
          </cell>
          <cell r="Z69">
            <v>859</v>
          </cell>
          <cell r="AA69">
            <v>603</v>
          </cell>
          <cell r="AB69">
            <v>504</v>
          </cell>
          <cell r="AC69">
            <v>489.85198169247246</v>
          </cell>
          <cell r="AD69">
            <v>394</v>
          </cell>
          <cell r="AE69">
            <v>427</v>
          </cell>
          <cell r="AF69">
            <v>451.55321842438406</v>
          </cell>
          <cell r="AG69">
            <v>444.44444444444446</v>
          </cell>
          <cell r="AH69">
            <v>741.64962508520784</v>
          </cell>
          <cell r="AI69">
            <v>882.36439770182096</v>
          </cell>
        </row>
        <row r="70">
          <cell r="A70">
            <v>67</v>
          </cell>
          <cell r="B70" t="str">
            <v>Commercial</v>
          </cell>
          <cell r="D70">
            <v>3791.3136624793069</v>
          </cell>
          <cell r="E70">
            <v>571.0390495666569</v>
          </cell>
          <cell r="F70">
            <v>612.42574739507256</v>
          </cell>
          <cell r="G70">
            <v>505.98889862693545</v>
          </cell>
          <cell r="H70">
            <v>455.64319797448633</v>
          </cell>
          <cell r="I70">
            <v>318.53150258058236</v>
          </cell>
          <cell r="J70">
            <v>168.46820527802123</v>
          </cell>
          <cell r="K70">
            <v>181.41980718667836</v>
          </cell>
          <cell r="L70">
            <v>127.17888791508423</v>
          </cell>
          <cell r="M70">
            <v>140.03310935826272</v>
          </cell>
          <cell r="N70">
            <v>114.81156879929885</v>
          </cell>
          <cell r="O70">
            <v>299.83445320868634</v>
          </cell>
          <cell r="P70">
            <v>295.93923458954134</v>
          </cell>
          <cell r="T70">
            <v>67</v>
          </cell>
          <cell r="U70" t="str">
            <v>Commercial</v>
          </cell>
          <cell r="X70">
            <v>6</v>
          </cell>
          <cell r="Y70">
            <v>9</v>
          </cell>
          <cell r="Z70">
            <v>3</v>
          </cell>
          <cell r="AA70">
            <v>3</v>
          </cell>
          <cell r="AB70">
            <v>1</v>
          </cell>
          <cell r="AC70">
            <v>0.20255136819553998</v>
          </cell>
          <cell r="AD70">
            <v>1</v>
          </cell>
          <cell r="AE70">
            <v>107</v>
          </cell>
          <cell r="AF70">
            <v>130.29506281040022</v>
          </cell>
          <cell r="AG70">
            <v>223.6829292044016</v>
          </cell>
          <cell r="AH70">
            <v>392.83279774077317</v>
          </cell>
          <cell r="AI70">
            <v>343.65566267406757</v>
          </cell>
        </row>
        <row r="71">
          <cell r="A71">
            <v>68</v>
          </cell>
          <cell r="B71" t="str">
            <v>Commercial Small Transp</v>
          </cell>
          <cell r="D71">
            <v>2120.2648748661018</v>
          </cell>
          <cell r="E71">
            <v>175.96650111987535</v>
          </cell>
          <cell r="F71">
            <v>210.34180543382996</v>
          </cell>
          <cell r="G71">
            <v>204.30421657415522</v>
          </cell>
          <cell r="H71">
            <v>193.98188723342096</v>
          </cell>
          <cell r="I71">
            <v>182.00408997955009</v>
          </cell>
          <cell r="J71">
            <v>188.62596163209659</v>
          </cell>
          <cell r="K71">
            <v>148.99211218229624</v>
          </cell>
          <cell r="L71">
            <v>161.65157269451748</v>
          </cell>
          <cell r="M71">
            <v>155.90612523127859</v>
          </cell>
          <cell r="N71">
            <v>146.9471224072451</v>
          </cell>
          <cell r="O71">
            <v>220.85889570552146</v>
          </cell>
          <cell r="P71">
            <v>130.68458467231474</v>
          </cell>
          <cell r="T71">
            <v>68</v>
          </cell>
          <cell r="U71" t="str">
            <v>Special Contract</v>
          </cell>
          <cell r="X71">
            <v>944</v>
          </cell>
          <cell r="Y71">
            <v>947</v>
          </cell>
          <cell r="Z71">
            <v>955</v>
          </cell>
          <cell r="AA71">
            <v>707</v>
          </cell>
          <cell r="AB71">
            <v>648</v>
          </cell>
          <cell r="AC71">
            <v>461.54737559645537</v>
          </cell>
          <cell r="AD71">
            <v>248</v>
          </cell>
          <cell r="AE71">
            <v>130</v>
          </cell>
          <cell r="AF71">
            <v>207.12825007303536</v>
          </cell>
          <cell r="AG71">
            <v>192.03427792384846</v>
          </cell>
          <cell r="AH71">
            <v>189.01548349401111</v>
          </cell>
          <cell r="AI71">
            <v>126.20508326029798</v>
          </cell>
        </row>
        <row r="72">
          <cell r="A72">
            <v>69</v>
          </cell>
          <cell r="D72">
            <v>12836.692959392345</v>
          </cell>
          <cell r="E72">
            <v>1521.9592949654298</v>
          </cell>
          <cell r="F72">
            <v>1644.9508228649333</v>
          </cell>
          <cell r="G72">
            <v>1340.6368682442301</v>
          </cell>
          <cell r="H72">
            <v>1237.0240529749733</v>
          </cell>
          <cell r="I72">
            <v>939.91625279968844</v>
          </cell>
          <cell r="J72">
            <v>827.34443470639792</v>
          </cell>
          <cell r="K72">
            <v>732.78800272665308</v>
          </cell>
          <cell r="L72">
            <v>693.15415327685264</v>
          </cell>
          <cell r="M72">
            <v>788.29486804946919</v>
          </cell>
          <cell r="N72">
            <v>756.2566949070017</v>
          </cell>
          <cell r="O72">
            <v>1069.2375109553022</v>
          </cell>
          <cell r="P72">
            <v>1285.130002921414</v>
          </cell>
          <cell r="T72">
            <v>69</v>
          </cell>
          <cell r="X72">
            <v>1792</v>
          </cell>
          <cell r="Y72">
            <v>2092</v>
          </cell>
          <cell r="Z72">
            <v>1817</v>
          </cell>
          <cell r="AA72">
            <v>1313</v>
          </cell>
          <cell r="AB72">
            <v>1153</v>
          </cell>
          <cell r="AC72">
            <v>951.60190865712343</v>
          </cell>
          <cell r="AD72">
            <v>643</v>
          </cell>
          <cell r="AE72">
            <v>664</v>
          </cell>
          <cell r="AF72">
            <v>788.97653130781964</v>
          </cell>
          <cell r="AG72">
            <v>860.1616515726945</v>
          </cell>
          <cell r="AH72">
            <v>1323.4979063199921</v>
          </cell>
          <cell r="AI72">
            <v>1352.2251436361864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V75"/>
          <cell r="W75"/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C76"/>
          <cell r="D76">
            <v>720398</v>
          </cell>
          <cell r="E76">
            <v>59567</v>
          </cell>
          <cell r="F76">
            <v>59710</v>
          </cell>
          <cell r="G76">
            <v>59921</v>
          </cell>
          <cell r="H76">
            <v>60111</v>
          </cell>
          <cell r="I76">
            <v>60057</v>
          </cell>
          <cell r="J76">
            <v>60052</v>
          </cell>
          <cell r="K76">
            <v>60064</v>
          </cell>
          <cell r="L76">
            <v>59939</v>
          </cell>
          <cell r="M76">
            <v>59993</v>
          </cell>
          <cell r="N76">
            <v>60079</v>
          </cell>
          <cell r="O76">
            <v>60353</v>
          </cell>
          <cell r="P76">
            <v>60552</v>
          </cell>
          <cell r="T76">
            <v>73</v>
          </cell>
          <cell r="U76" t="str">
            <v xml:space="preserve">Customers </v>
          </cell>
          <cell r="V76"/>
          <cell r="W76"/>
          <cell r="X76">
            <v>59166</v>
          </cell>
          <cell r="Y76">
            <v>59334</v>
          </cell>
          <cell r="Z76">
            <v>59639</v>
          </cell>
          <cell r="AA76">
            <v>59848</v>
          </cell>
          <cell r="AB76">
            <v>59662</v>
          </cell>
          <cell r="AC76">
            <v>59783</v>
          </cell>
          <cell r="AD76">
            <v>59748</v>
          </cell>
          <cell r="AE76">
            <v>59653</v>
          </cell>
          <cell r="AF76">
            <v>59729</v>
          </cell>
          <cell r="AG76">
            <v>59821</v>
          </cell>
          <cell r="AH76">
            <v>60029</v>
          </cell>
          <cell r="AI76">
            <v>60355</v>
          </cell>
        </row>
        <row r="77">
          <cell r="A77">
            <v>74</v>
          </cell>
          <cell r="B77" t="str">
            <v>Volume (mcfs)</v>
          </cell>
          <cell r="C77"/>
          <cell r="D77">
            <v>7270446.5868146848</v>
          </cell>
          <cell r="E77">
            <v>652762.68380562856</v>
          </cell>
          <cell r="F77">
            <v>681727.52945759078</v>
          </cell>
          <cell r="G77">
            <v>619825.39682539681</v>
          </cell>
          <cell r="H77">
            <v>675862.10926088225</v>
          </cell>
          <cell r="I77">
            <v>599567.92287467129</v>
          </cell>
          <cell r="J77">
            <v>564067.48466257669</v>
          </cell>
          <cell r="K77">
            <v>537727.23731619434</v>
          </cell>
          <cell r="L77">
            <v>534283.18239361187</v>
          </cell>
          <cell r="M77">
            <v>523643.87963774469</v>
          </cell>
          <cell r="N77">
            <v>552590.02824033494</v>
          </cell>
          <cell r="O77">
            <v>613500.63297302555</v>
          </cell>
          <cell r="P77">
            <v>714888.49936702696</v>
          </cell>
          <cell r="T77">
            <v>74</v>
          </cell>
          <cell r="U77" t="str">
            <v>Volume (mcfs)</v>
          </cell>
          <cell r="V77"/>
          <cell r="W77"/>
          <cell r="X77">
            <v>910995</v>
          </cell>
          <cell r="Y77">
            <v>830694</v>
          </cell>
          <cell r="Z77">
            <v>756332</v>
          </cell>
          <cell r="AA77">
            <v>749787</v>
          </cell>
          <cell r="AB77">
            <v>649554</v>
          </cell>
          <cell r="AC77">
            <v>559046</v>
          </cell>
          <cell r="AD77">
            <v>567097</v>
          </cell>
          <cell r="AE77">
            <v>535585</v>
          </cell>
          <cell r="AF77">
            <v>545197.78</v>
          </cell>
          <cell r="AG77">
            <v>588866.56000000006</v>
          </cell>
          <cell r="AH77">
            <v>682880.23</v>
          </cell>
          <cell r="AI77">
            <v>787520.06</v>
          </cell>
        </row>
        <row r="78">
          <cell r="A78">
            <v>75</v>
          </cell>
          <cell r="B78" t="str">
            <v>Volume (dts) (mcfs*1.0269)</v>
          </cell>
          <cell r="C78"/>
          <cell r="D78">
            <v>7466022</v>
          </cell>
          <cell r="E78">
            <v>670322</v>
          </cell>
          <cell r="F78">
            <v>700066</v>
          </cell>
          <cell r="G78">
            <v>636499</v>
          </cell>
          <cell r="H78">
            <v>694043</v>
          </cell>
          <cell r="I78">
            <v>615696</v>
          </cell>
          <cell r="J78">
            <v>579241</v>
          </cell>
          <cell r="K78">
            <v>552192</v>
          </cell>
          <cell r="L78">
            <v>548655</v>
          </cell>
          <cell r="M78">
            <v>537730</v>
          </cell>
          <cell r="N78">
            <v>567455</v>
          </cell>
          <cell r="O78">
            <v>630004</v>
          </cell>
          <cell r="P78">
            <v>734119</v>
          </cell>
          <cell r="T78">
            <v>75</v>
          </cell>
          <cell r="U78" t="str">
            <v>Volume (dts) (mcfs*1.0269)</v>
          </cell>
          <cell r="V78"/>
          <cell r="W78"/>
          <cell r="X78">
            <v>935501</v>
          </cell>
          <cell r="Y78">
            <v>853040</v>
          </cell>
          <cell r="Z78">
            <v>776677</v>
          </cell>
          <cell r="AA78">
            <v>769956</v>
          </cell>
          <cell r="AB78">
            <v>667027</v>
          </cell>
          <cell r="AC78">
            <v>574084</v>
          </cell>
          <cell r="AD78">
            <v>582352</v>
          </cell>
          <cell r="AE78">
            <v>549992</v>
          </cell>
          <cell r="AF78">
            <v>559864</v>
          </cell>
          <cell r="AG78">
            <v>604707</v>
          </cell>
          <cell r="AH78">
            <v>701250</v>
          </cell>
          <cell r="AI78">
            <v>808704</v>
          </cell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A80">
            <v>77</v>
          </cell>
          <cell r="B80" t="str">
            <v>Volume - 2017 -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- 2016 - actual in Dts (mcfs*1.0269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1350413</v>
          </cell>
          <cell r="E81">
            <v>173562</v>
          </cell>
          <cell r="F81">
            <v>151263</v>
          </cell>
          <cell r="G81">
            <v>145986</v>
          </cell>
          <cell r="H81">
            <v>132442</v>
          </cell>
          <cell r="I81">
            <v>91723</v>
          </cell>
          <cell r="J81">
            <v>80504</v>
          </cell>
          <cell r="K81">
            <v>70483</v>
          </cell>
          <cell r="L81">
            <v>63306</v>
          </cell>
          <cell r="M81">
            <v>113329</v>
          </cell>
          <cell r="N81">
            <v>77979</v>
          </cell>
          <cell r="O81">
            <v>104021</v>
          </cell>
          <cell r="P81">
            <v>145815</v>
          </cell>
          <cell r="T81">
            <v>78</v>
          </cell>
          <cell r="U81" t="str">
            <v>Residential</v>
          </cell>
          <cell r="W81">
            <v>1308906</v>
          </cell>
          <cell r="X81">
            <v>173938</v>
          </cell>
          <cell r="Y81">
            <v>180932</v>
          </cell>
          <cell r="Z81">
            <v>152042</v>
          </cell>
          <cell r="AA81">
            <v>119342</v>
          </cell>
          <cell r="AB81">
            <v>91870</v>
          </cell>
          <cell r="AC81">
            <v>78962</v>
          </cell>
          <cell r="AD81">
            <v>69734</v>
          </cell>
          <cell r="AE81">
            <v>58664</v>
          </cell>
          <cell r="AF81">
            <v>68433</v>
          </cell>
          <cell r="AG81">
            <v>80905</v>
          </cell>
          <cell r="AH81">
            <v>101693</v>
          </cell>
          <cell r="AI81">
            <v>132391</v>
          </cell>
        </row>
        <row r="82">
          <cell r="A82">
            <v>79</v>
          </cell>
          <cell r="B82" t="str">
            <v>Commercial</v>
          </cell>
          <cell r="D82">
            <v>1863147</v>
          </cell>
          <cell r="E82">
            <v>209174</v>
          </cell>
          <cell r="F82">
            <v>195020</v>
          </cell>
          <cell r="G82">
            <v>197009</v>
          </cell>
          <cell r="H82">
            <v>178496</v>
          </cell>
          <cell r="I82">
            <v>142126</v>
          </cell>
          <cell r="J82">
            <v>138732</v>
          </cell>
          <cell r="K82">
            <v>127500</v>
          </cell>
          <cell r="L82">
            <v>117478</v>
          </cell>
          <cell r="M82">
            <v>121340</v>
          </cell>
          <cell r="N82">
            <v>119674</v>
          </cell>
          <cell r="O82">
            <v>147319</v>
          </cell>
          <cell r="P82">
            <v>169279</v>
          </cell>
          <cell r="T82">
            <v>79</v>
          </cell>
          <cell r="U82" t="str">
            <v>Commercial</v>
          </cell>
          <cell r="W82">
            <v>2133842</v>
          </cell>
          <cell r="X82">
            <v>231812</v>
          </cell>
          <cell r="Y82">
            <v>231791</v>
          </cell>
          <cell r="Z82">
            <v>228728</v>
          </cell>
          <cell r="AA82">
            <v>194092</v>
          </cell>
          <cell r="AB82">
            <v>185539</v>
          </cell>
          <cell r="AC82">
            <v>152803</v>
          </cell>
          <cell r="AD82">
            <v>137056</v>
          </cell>
          <cell r="AE82">
            <v>130345</v>
          </cell>
          <cell r="AF82">
            <v>141754</v>
          </cell>
          <cell r="AG82">
            <v>142604</v>
          </cell>
          <cell r="AH82">
            <v>169107</v>
          </cell>
          <cell r="AI82">
            <v>188211</v>
          </cell>
        </row>
        <row r="83">
          <cell r="A83">
            <v>80</v>
          </cell>
          <cell r="B83" t="str">
            <v xml:space="preserve">Industrial </v>
          </cell>
          <cell r="D83">
            <v>4543775</v>
          </cell>
          <cell r="E83">
            <v>411557</v>
          </cell>
          <cell r="F83">
            <v>375690</v>
          </cell>
          <cell r="G83">
            <v>402016</v>
          </cell>
          <cell r="H83">
            <v>374438</v>
          </cell>
          <cell r="I83">
            <v>365612</v>
          </cell>
          <cell r="J83">
            <v>360380</v>
          </cell>
          <cell r="K83">
            <v>386016</v>
          </cell>
          <cell r="L83">
            <v>369921</v>
          </cell>
          <cell r="M83">
            <v>326764</v>
          </cell>
          <cell r="N83">
            <v>378417</v>
          </cell>
          <cell r="O83">
            <v>376220</v>
          </cell>
          <cell r="P83">
            <v>416744</v>
          </cell>
          <cell r="T83">
            <v>80</v>
          </cell>
          <cell r="U83" t="str">
            <v xml:space="preserve">Industrial </v>
          </cell>
          <cell r="W83">
            <v>4294573</v>
          </cell>
          <cell r="X83">
            <v>364605</v>
          </cell>
          <cell r="Y83">
            <v>356664</v>
          </cell>
          <cell r="Z83">
            <v>404486</v>
          </cell>
          <cell r="AA83">
            <v>358233</v>
          </cell>
          <cell r="AB83">
            <v>326609</v>
          </cell>
          <cell r="AC83">
            <v>348794</v>
          </cell>
          <cell r="AD83">
            <v>352328</v>
          </cell>
          <cell r="AE83">
            <v>340628</v>
          </cell>
          <cell r="AF83">
            <v>336209</v>
          </cell>
          <cell r="AG83">
            <v>349140</v>
          </cell>
          <cell r="AH83">
            <v>376651</v>
          </cell>
          <cell r="AI83">
            <v>380226</v>
          </cell>
        </row>
        <row r="84">
          <cell r="A84">
            <v>81</v>
          </cell>
          <cell r="B84" t="str">
            <v>Other</v>
          </cell>
          <cell r="D84">
            <v>1875761</v>
          </cell>
          <cell r="E84">
            <v>167819</v>
          </cell>
          <cell r="F84">
            <v>147169</v>
          </cell>
          <cell r="G84">
            <v>172922</v>
          </cell>
          <cell r="H84">
            <v>144203</v>
          </cell>
          <cell r="I84">
            <v>166740</v>
          </cell>
          <cell r="J84">
            <v>148258</v>
          </cell>
          <cell r="K84">
            <v>93966</v>
          </cell>
          <cell r="L84">
            <v>123772</v>
          </cell>
          <cell r="M84">
            <v>117144</v>
          </cell>
          <cell r="N84">
            <v>188872</v>
          </cell>
          <cell r="O84">
            <v>198975</v>
          </cell>
          <cell r="P84">
            <v>205921</v>
          </cell>
          <cell r="T84">
            <v>81</v>
          </cell>
          <cell r="U84" t="str">
            <v>Other</v>
          </cell>
          <cell r="W84">
            <v>846115</v>
          </cell>
          <cell r="X84">
            <v>-12891</v>
          </cell>
          <cell r="Y84">
            <v>56914</v>
          </cell>
          <cell r="Z84">
            <v>-3641</v>
          </cell>
          <cell r="AA84">
            <v>-46845</v>
          </cell>
          <cell r="AB84">
            <v>665</v>
          </cell>
          <cell r="AC84">
            <v>474</v>
          </cell>
          <cell r="AD84">
            <v>140980</v>
          </cell>
          <cell r="AE84">
            <v>175506</v>
          </cell>
          <cell r="AF84">
            <v>83939</v>
          </cell>
          <cell r="AG84">
            <v>147049</v>
          </cell>
          <cell r="AH84">
            <v>154293</v>
          </cell>
          <cell r="AI84">
            <v>149672</v>
          </cell>
        </row>
        <row r="85">
          <cell r="A85">
            <v>82</v>
          </cell>
          <cell r="B85" t="str">
            <v>Total Deliveries</v>
          </cell>
          <cell r="C85"/>
          <cell r="D85">
            <v>9633096</v>
          </cell>
          <cell r="E85">
            <v>962112</v>
          </cell>
          <cell r="F85">
            <v>869142</v>
          </cell>
          <cell r="G85">
            <v>917933</v>
          </cell>
          <cell r="H85">
            <v>829579</v>
          </cell>
          <cell r="I85">
            <v>766201</v>
          </cell>
          <cell r="J85">
            <v>727874</v>
          </cell>
          <cell r="K85">
            <v>677965</v>
          </cell>
          <cell r="L85">
            <v>674477</v>
          </cell>
          <cell r="M85">
            <v>678577</v>
          </cell>
          <cell r="N85">
            <v>764942</v>
          </cell>
          <cell r="O85">
            <v>826535</v>
          </cell>
          <cell r="P85">
            <v>937759</v>
          </cell>
          <cell r="T85">
            <v>82</v>
          </cell>
          <cell r="U85" t="str">
            <v>Total Deliveries</v>
          </cell>
          <cell r="V85"/>
          <cell r="W85">
            <v>8583436</v>
          </cell>
          <cell r="X85">
            <v>757464</v>
          </cell>
          <cell r="Y85">
            <v>826301</v>
          </cell>
          <cell r="Z85">
            <v>781615</v>
          </cell>
          <cell r="AA85">
            <v>624822</v>
          </cell>
          <cell r="AB85">
            <v>604683</v>
          </cell>
          <cell r="AC85">
            <v>581033</v>
          </cell>
          <cell r="AD85">
            <v>700098</v>
          </cell>
          <cell r="AE85">
            <v>705143</v>
          </cell>
          <cell r="AF85">
            <v>630335</v>
          </cell>
          <cell r="AG85">
            <v>719698</v>
          </cell>
          <cell r="AH85">
            <v>801744</v>
          </cell>
          <cell r="AI85">
            <v>850500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X86"/>
          <cell r="Y86"/>
          <cell r="Z86"/>
          <cell r="AA86"/>
          <cell r="AB86"/>
          <cell r="AC86"/>
          <cell r="AD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X87"/>
          <cell r="Y87"/>
          <cell r="Z87"/>
          <cell r="AA87"/>
          <cell r="AB87"/>
          <cell r="AC87"/>
          <cell r="AD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  <cell r="X88"/>
          <cell r="Y88"/>
          <cell r="Z88"/>
          <cell r="AA88"/>
          <cell r="AB88"/>
          <cell r="AC88"/>
          <cell r="AD88"/>
        </row>
        <row r="89">
          <cell r="A89">
            <v>86</v>
          </cell>
          <cell r="B89" t="str">
            <v>Customers- YTD average cumulative - 2017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- 2016</v>
          </cell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53892</v>
          </cell>
          <cell r="F91">
            <v>53949</v>
          </cell>
          <cell r="G91">
            <v>54041</v>
          </cell>
          <cell r="H91">
            <v>54133</v>
          </cell>
          <cell r="I91">
            <v>54182</v>
          </cell>
          <cell r="J91">
            <v>54196</v>
          </cell>
          <cell r="K91">
            <v>54230</v>
          </cell>
          <cell r="L91">
            <v>54272</v>
          </cell>
          <cell r="M91">
            <v>54312</v>
          </cell>
          <cell r="N91">
            <v>54338</v>
          </cell>
          <cell r="O91">
            <v>54365</v>
          </cell>
          <cell r="P91">
            <v>54410</v>
          </cell>
          <cell r="T91">
            <v>88</v>
          </cell>
          <cell r="U91" t="str">
            <v>Residential</v>
          </cell>
          <cell r="V91"/>
          <cell r="W91"/>
          <cell r="X91">
            <v>52941</v>
          </cell>
          <cell r="Y91">
            <v>52964</v>
          </cell>
          <cell r="Z91">
            <v>53044</v>
          </cell>
          <cell r="AA91">
            <v>53101</v>
          </cell>
          <cell r="AB91">
            <v>53128</v>
          </cell>
          <cell r="AC91">
            <v>53165</v>
          </cell>
          <cell r="AD91">
            <v>53175</v>
          </cell>
          <cell r="AE91">
            <v>53193</v>
          </cell>
          <cell r="AF91">
            <v>53215</v>
          </cell>
          <cell r="AG91">
            <v>53231</v>
          </cell>
          <cell r="AH91">
            <v>53260</v>
          </cell>
          <cell r="AI91">
            <v>53300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4186</v>
          </cell>
          <cell r="F92">
            <v>4185</v>
          </cell>
          <cell r="G92">
            <v>4173</v>
          </cell>
          <cell r="H92">
            <v>4160</v>
          </cell>
          <cell r="I92">
            <v>4141</v>
          </cell>
          <cell r="J92">
            <v>4123</v>
          </cell>
          <cell r="K92">
            <v>4111</v>
          </cell>
          <cell r="L92">
            <v>4098</v>
          </cell>
          <cell r="M92">
            <v>4084</v>
          </cell>
          <cell r="N92">
            <v>4072</v>
          </cell>
          <cell r="O92">
            <v>4062</v>
          </cell>
          <cell r="P92">
            <v>4054</v>
          </cell>
          <cell r="T92">
            <v>89</v>
          </cell>
          <cell r="U92" t="str">
            <v>Commercial</v>
          </cell>
          <cell r="V92"/>
          <cell r="W92"/>
          <cell r="X92">
            <v>4253</v>
          </cell>
          <cell r="Y92">
            <v>4259</v>
          </cell>
          <cell r="Z92">
            <v>4261</v>
          </cell>
          <cell r="AA92">
            <v>4265</v>
          </cell>
          <cell r="AB92">
            <v>4266</v>
          </cell>
          <cell r="AC92">
            <v>4263</v>
          </cell>
          <cell r="AD92">
            <v>4259</v>
          </cell>
          <cell r="AE92">
            <v>4254</v>
          </cell>
          <cell r="AF92">
            <v>4247</v>
          </cell>
          <cell r="AG92">
            <v>4242</v>
          </cell>
          <cell r="AH92">
            <v>4238</v>
          </cell>
          <cell r="AI92">
            <v>4236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1898</v>
          </cell>
          <cell r="F93">
            <v>1918</v>
          </cell>
          <cell r="G93">
            <v>1938</v>
          </cell>
          <cell r="H93">
            <v>1961</v>
          </cell>
          <cell r="I93">
            <v>1980</v>
          </cell>
          <cell r="J93">
            <v>1997</v>
          </cell>
          <cell r="K93">
            <v>2012</v>
          </cell>
          <cell r="L93">
            <v>2027</v>
          </cell>
          <cell r="M93">
            <v>2042</v>
          </cell>
          <cell r="N93">
            <v>2055</v>
          </cell>
          <cell r="O93">
            <v>2066</v>
          </cell>
          <cell r="P93">
            <v>2078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1706</v>
          </cell>
          <cell r="Y93">
            <v>1712</v>
          </cell>
          <cell r="Z93">
            <v>1716</v>
          </cell>
          <cell r="AA93">
            <v>1720</v>
          </cell>
          <cell r="AB93">
            <v>1725</v>
          </cell>
          <cell r="AC93">
            <v>1732</v>
          </cell>
          <cell r="AD93">
            <v>1740</v>
          </cell>
          <cell r="AE93">
            <v>1750</v>
          </cell>
          <cell r="AF93">
            <v>1760</v>
          </cell>
          <cell r="AG93">
            <v>1769</v>
          </cell>
          <cell r="AH93">
            <v>1777</v>
          </cell>
          <cell r="AI93">
            <v>1786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  <cell r="L94">
            <v>10</v>
          </cell>
          <cell r="M94">
            <v>10</v>
          </cell>
          <cell r="N94">
            <v>10</v>
          </cell>
          <cell r="O94">
            <v>10</v>
          </cell>
          <cell r="P94">
            <v>10</v>
          </cell>
          <cell r="T94">
            <v>91</v>
          </cell>
          <cell r="U94" t="str">
            <v>Other</v>
          </cell>
          <cell r="V94"/>
          <cell r="W94"/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2</v>
          </cell>
          <cell r="AH94">
            <v>2</v>
          </cell>
          <cell r="AI94">
            <v>2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59986</v>
          </cell>
          <cell r="F95">
            <v>60052</v>
          </cell>
          <cell r="G95">
            <v>60162</v>
          </cell>
          <cell r="H95">
            <v>60254</v>
          </cell>
          <cell r="I95">
            <v>60303</v>
          </cell>
          <cell r="J95">
            <v>60316</v>
          </cell>
          <cell r="K95">
            <v>60353</v>
          </cell>
          <cell r="L95">
            <v>60397</v>
          </cell>
          <cell r="M95">
            <v>60438</v>
          </cell>
          <cell r="N95">
            <v>60465</v>
          </cell>
          <cell r="O95">
            <v>60493</v>
          </cell>
          <cell r="P95">
            <v>60542</v>
          </cell>
          <cell r="T95">
            <v>92</v>
          </cell>
          <cell r="U95" t="str">
            <v>Total customers</v>
          </cell>
          <cell r="V95"/>
          <cell r="W95"/>
          <cell r="X95">
            <v>58901</v>
          </cell>
          <cell r="Y95">
            <v>58935</v>
          </cell>
          <cell r="Z95">
            <v>59022</v>
          </cell>
          <cell r="AA95">
            <v>59086</v>
          </cell>
          <cell r="AB95">
            <v>59119</v>
          </cell>
          <cell r="AC95">
            <v>59160</v>
          </cell>
          <cell r="AD95">
            <v>59174</v>
          </cell>
          <cell r="AE95">
            <v>59197</v>
          </cell>
          <cell r="AF95">
            <v>59222</v>
          </cell>
          <cell r="AG95">
            <v>59242</v>
          </cell>
          <cell r="AH95">
            <v>59275</v>
          </cell>
          <cell r="AI95">
            <v>59322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77838</v>
          </cell>
          <cell r="T97">
            <v>94</v>
          </cell>
        </row>
        <row r="98">
          <cell r="A98">
            <v>95</v>
          </cell>
          <cell r="B98" t="str">
            <v>Volume - 2017 -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- 2016 -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169015.09397214919</v>
          </cell>
          <cell r="F99">
            <v>316315.51270815078</v>
          </cell>
          <cell r="G99">
            <v>458477.65118317271</v>
          </cell>
          <cell r="H99">
            <v>587449.8977505113</v>
          </cell>
          <cell r="I99">
            <v>676770.27948193601</v>
          </cell>
          <cell r="J99">
            <v>755165.74155224464</v>
          </cell>
          <cell r="K99">
            <v>823802.80455740588</v>
          </cell>
          <cell r="L99">
            <v>885450.77417470061</v>
          </cell>
          <cell r="M99">
            <v>995811.17927743704</v>
          </cell>
          <cell r="N99">
            <v>1071747.2003116177</v>
          </cell>
          <cell r="O99">
            <v>1173043.723829</v>
          </cell>
          <cell r="P99">
            <v>1315039.3417080536</v>
          </cell>
          <cell r="T99">
            <v>96</v>
          </cell>
          <cell r="U99" t="str">
            <v>Residential</v>
          </cell>
          <cell r="W99"/>
          <cell r="X99">
            <v>169382</v>
          </cell>
          <cell r="Y99">
            <v>345574</v>
          </cell>
          <cell r="Z99">
            <v>493633</v>
          </cell>
          <cell r="AA99">
            <v>609849</v>
          </cell>
          <cell r="AB99">
            <v>699312</v>
          </cell>
          <cell r="AC99">
            <v>776205.98188723344</v>
          </cell>
          <cell r="AD99">
            <v>844113.17810887133</v>
          </cell>
          <cell r="AE99">
            <v>901240.17810887133</v>
          </cell>
          <cell r="AF99">
            <v>967880.49946440745</v>
          </cell>
          <cell r="AG99">
            <v>1046666.3598208199</v>
          </cell>
          <cell r="AH99">
            <v>1145695.4765799979</v>
          </cell>
          <cell r="AI99">
            <v>1274618.4486318044</v>
          </cell>
        </row>
        <row r="100">
          <cell r="A100">
            <v>97</v>
          </cell>
          <cell r="B100" t="str">
            <v>Commercial</v>
          </cell>
          <cell r="D100"/>
          <cell r="E100">
            <v>203694.61486025903</v>
          </cell>
          <cell r="F100">
            <v>393605.99863667344</v>
          </cell>
          <cell r="G100">
            <v>585454.3772519232</v>
          </cell>
          <cell r="H100">
            <v>759274.41815171868</v>
          </cell>
          <cell r="I100">
            <v>897677.57327880012</v>
          </cell>
          <cell r="J100">
            <v>1032774.9537442788</v>
          </cell>
          <cell r="K100">
            <v>1156935.4367513875</v>
          </cell>
          <cell r="L100">
            <v>1271336.157366832</v>
          </cell>
          <cell r="M100">
            <v>1389497.2246567337</v>
          </cell>
          <cell r="N100">
            <v>1506035.9333917615</v>
          </cell>
          <cell r="O100">
            <v>1649496.0560911479</v>
          </cell>
          <cell r="P100">
            <v>1814340.9290096406</v>
          </cell>
          <cell r="T100">
            <v>97</v>
          </cell>
          <cell r="U100" t="str">
            <v>Commercial</v>
          </cell>
          <cell r="W100"/>
          <cell r="X100">
            <v>225740</v>
          </cell>
          <cell r="Y100">
            <v>451459</v>
          </cell>
          <cell r="Z100">
            <v>674195</v>
          </cell>
          <cell r="AA100">
            <v>863203</v>
          </cell>
          <cell r="AB100">
            <v>1043882</v>
          </cell>
          <cell r="AC100">
            <v>1192682.1791800566</v>
          </cell>
          <cell r="AD100">
            <v>1326148.3760833577</v>
          </cell>
          <cell r="AE100">
            <v>1453079.3760833577</v>
          </cell>
          <cell r="AF100">
            <v>1591119.7797253872</v>
          </cell>
          <cell r="AG100">
            <v>1729988.3160969911</v>
          </cell>
          <cell r="AH100">
            <v>1894665.4998539295</v>
          </cell>
          <cell r="AI100">
            <v>2077946.2477359043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400776.21969033009</v>
          </cell>
          <cell r="F101">
            <v>766624.89044697629</v>
          </cell>
          <cell r="G101">
            <v>1158109.6504041289</v>
          </cell>
          <cell r="H101">
            <v>1522739.1177329826</v>
          </cell>
          <cell r="I101">
            <v>1878773.4930372965</v>
          </cell>
          <cell r="J101">
            <v>2229713.4092900963</v>
          </cell>
          <cell r="K101">
            <v>2605617.9764339272</v>
          </cell>
          <cell r="L101">
            <v>2965848.670756646</v>
          </cell>
          <cell r="M101">
            <v>3284052.8775927546</v>
          </cell>
          <cell r="N101">
            <v>3652556.8215016066</v>
          </cell>
          <cell r="O101">
            <v>4018921.9982471513</v>
          </cell>
          <cell r="P101">
            <v>4424749.3426818578</v>
          </cell>
          <cell r="T101">
            <v>98</v>
          </cell>
          <cell r="U101" t="str">
            <v xml:space="preserve">Industrial </v>
          </cell>
          <cell r="W101"/>
          <cell r="X101">
            <v>355054</v>
          </cell>
          <cell r="Y101">
            <v>702375</v>
          </cell>
          <cell r="Z101">
            <v>1096265</v>
          </cell>
          <cell r="AA101">
            <v>1445114</v>
          </cell>
          <cell r="AB101">
            <v>1763167</v>
          </cell>
          <cell r="AC101">
            <v>2102824.2986658877</v>
          </cell>
          <cell r="AD101">
            <v>2445923.0154834939</v>
          </cell>
          <cell r="AE101">
            <v>2777628.0154834939</v>
          </cell>
          <cell r="AF101">
            <v>3105029.648359139</v>
          </cell>
          <cell r="AG101">
            <v>3445023.4926709104</v>
          </cell>
          <cell r="AH101">
            <v>3811807.7949398751</v>
          </cell>
          <cell r="AI101">
            <v>4182073.6436106316</v>
          </cell>
        </row>
        <row r="102">
          <cell r="A102">
            <v>99</v>
          </cell>
          <cell r="B102" t="str">
            <v>Other</v>
          </cell>
          <cell r="D102"/>
          <cell r="E102">
            <v>163423.28269549127</v>
          </cell>
          <cell r="F102">
            <v>306736.95588664914</v>
          </cell>
          <cell r="G102">
            <v>475129.57834258449</v>
          </cell>
          <cell r="H102">
            <v>615555.35193300224</v>
          </cell>
          <cell r="I102">
            <v>777927.53422923363</v>
          </cell>
          <cell r="J102">
            <v>922302.2007011394</v>
          </cell>
          <cell r="K102">
            <v>1013806.6002531892</v>
          </cell>
          <cell r="L102">
            <v>1134336.5544843704</v>
          </cell>
          <cell r="M102">
            <v>1248412.1027363911</v>
          </cell>
          <cell r="N102">
            <v>1432336.0550199631</v>
          </cell>
          <cell r="O102">
            <v>1626098.8822670174</v>
          </cell>
          <cell r="P102">
            <v>1826625.8100107121</v>
          </cell>
          <cell r="T102">
            <v>99</v>
          </cell>
          <cell r="U102" t="str">
            <v>Other</v>
          </cell>
          <cell r="W102"/>
          <cell r="X102">
            <v>-12552.932515337425</v>
          </cell>
          <cell r="Y102">
            <v>42870.647482714972</v>
          </cell>
          <cell r="Z102">
            <v>39324.722368292925</v>
          </cell>
          <cell r="AA102">
            <v>-6293.1388645437692</v>
          </cell>
          <cell r="AB102">
            <v>-5645.1388645437692</v>
          </cell>
          <cell r="AC102">
            <v>-5183.5914889473133</v>
          </cell>
          <cell r="AD102">
            <v>132103.21949556921</v>
          </cell>
          <cell r="AE102">
            <v>303012.16291751876</v>
          </cell>
          <cell r="AF102">
            <v>384752.38786639401</v>
          </cell>
          <cell r="AG102">
            <v>527949.73132729577</v>
          </cell>
          <cell r="AH102">
            <v>678200.90865712333</v>
          </cell>
          <cell r="AI102">
            <v>823952.30704060756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936909.21121822949</v>
          </cell>
          <cell r="F103">
            <v>1783283.3576784497</v>
          </cell>
          <cell r="G103">
            <v>2677171.2571818093</v>
          </cell>
          <cell r="H103">
            <v>3485018.785568215</v>
          </cell>
          <cell r="I103">
            <v>4231148.8800272662</v>
          </cell>
          <cell r="J103">
            <v>4939956.3052877598</v>
          </cell>
          <cell r="K103">
            <v>5600162.8179959096</v>
          </cell>
          <cell r="L103">
            <v>6256972.1567825489</v>
          </cell>
          <cell r="M103">
            <v>6917773.3842633162</v>
          </cell>
          <cell r="N103">
            <v>7662676.0102249496</v>
          </cell>
          <cell r="O103">
            <v>8467560.6604343168</v>
          </cell>
          <cell r="P103">
            <v>9380755.4234102648</v>
          </cell>
          <cell r="T103">
            <v>100</v>
          </cell>
          <cell r="U103" t="str">
            <v>Total Deliveries</v>
          </cell>
          <cell r="V103"/>
          <cell r="W103"/>
          <cell r="X103">
            <v>737623.06748466252</v>
          </cell>
          <cell r="Y103">
            <v>1542278.6474827151</v>
          </cell>
          <cell r="Z103">
            <v>2303417.722368293</v>
          </cell>
          <cell r="AA103">
            <v>2911872.8611354562</v>
          </cell>
          <cell r="AB103">
            <v>3500715.8611354562</v>
          </cell>
          <cell r="AC103">
            <v>4066528.8682442307</v>
          </cell>
          <cell r="AD103">
            <v>4748287.7891712924</v>
          </cell>
          <cell r="AE103">
            <v>5434959.7325932421</v>
          </cell>
          <cell r="AF103">
            <v>6048782.3154153274</v>
          </cell>
          <cell r="AG103">
            <v>6749627.8999160174</v>
          </cell>
          <cell r="AH103">
            <v>7530369.6800309261</v>
          </cell>
          <cell r="AI103">
            <v>8358590.6470189486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- 2017 -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- 2016 -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173562</v>
          </cell>
          <cell r="F107">
            <v>324825</v>
          </cell>
          <cell r="G107">
            <v>470811</v>
          </cell>
          <cell r="H107">
            <v>603253</v>
          </cell>
          <cell r="I107">
            <v>694976</v>
          </cell>
          <cell r="J107">
            <v>775480</v>
          </cell>
          <cell r="K107">
            <v>845963</v>
          </cell>
          <cell r="L107">
            <v>909269</v>
          </cell>
          <cell r="M107">
            <v>1022598</v>
          </cell>
          <cell r="N107">
            <v>1100577</v>
          </cell>
          <cell r="O107">
            <v>1204598</v>
          </cell>
          <cell r="P107">
            <v>1350413</v>
          </cell>
          <cell r="T107">
            <v>104</v>
          </cell>
          <cell r="U107" t="str">
            <v>Residential</v>
          </cell>
          <cell r="X107">
            <v>173938</v>
          </cell>
          <cell r="Y107">
            <v>354870</v>
          </cell>
          <cell r="Z107">
            <v>506912</v>
          </cell>
          <cell r="AA107">
            <v>626254</v>
          </cell>
          <cell r="AB107">
            <v>718124</v>
          </cell>
          <cell r="AC107">
            <v>797086</v>
          </cell>
          <cell r="AD107">
            <v>866820</v>
          </cell>
          <cell r="AE107">
            <v>925484</v>
          </cell>
          <cell r="AF107">
            <v>993917</v>
          </cell>
          <cell r="AG107">
            <v>1074822</v>
          </cell>
          <cell r="AH107">
            <v>1176515</v>
          </cell>
          <cell r="AI107">
            <v>1308906</v>
          </cell>
        </row>
        <row r="108">
          <cell r="A108">
            <v>105</v>
          </cell>
          <cell r="B108" t="str">
            <v>Commercial</v>
          </cell>
          <cell r="D108"/>
          <cell r="E108">
            <v>209174</v>
          </cell>
          <cell r="F108">
            <v>404194</v>
          </cell>
          <cell r="G108">
            <v>601203</v>
          </cell>
          <cell r="H108">
            <v>779699</v>
          </cell>
          <cell r="I108">
            <v>921825</v>
          </cell>
          <cell r="J108">
            <v>1060557</v>
          </cell>
          <cell r="K108">
            <v>1188057</v>
          </cell>
          <cell r="L108">
            <v>1305535</v>
          </cell>
          <cell r="M108">
            <v>1426875</v>
          </cell>
          <cell r="N108">
            <v>1546549</v>
          </cell>
          <cell r="O108">
            <v>1693868</v>
          </cell>
          <cell r="P108">
            <v>1863147</v>
          </cell>
          <cell r="T108">
            <v>105</v>
          </cell>
          <cell r="U108" t="str">
            <v>Commercial</v>
          </cell>
          <cell r="X108">
            <v>231812</v>
          </cell>
          <cell r="Y108">
            <v>463603</v>
          </cell>
          <cell r="Z108">
            <v>692331</v>
          </cell>
          <cell r="AA108">
            <v>886423</v>
          </cell>
          <cell r="AB108">
            <v>1071962</v>
          </cell>
          <cell r="AC108">
            <v>1224765</v>
          </cell>
          <cell r="AD108">
            <v>1361821</v>
          </cell>
          <cell r="AE108">
            <v>1492166</v>
          </cell>
          <cell r="AF108">
            <v>1633920</v>
          </cell>
          <cell r="AG108">
            <v>1776524</v>
          </cell>
          <cell r="AH108">
            <v>1945631</v>
          </cell>
          <cell r="AI108">
            <v>2133842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411557</v>
          </cell>
          <cell r="F109">
            <v>787247</v>
          </cell>
          <cell r="G109">
            <v>1189263</v>
          </cell>
          <cell r="H109">
            <v>1563701</v>
          </cell>
          <cell r="I109">
            <v>1929313</v>
          </cell>
          <cell r="J109">
            <v>2289693</v>
          </cell>
          <cell r="K109">
            <v>2675709</v>
          </cell>
          <cell r="L109">
            <v>3045630</v>
          </cell>
          <cell r="M109">
            <v>3372394</v>
          </cell>
          <cell r="N109">
            <v>3750811</v>
          </cell>
          <cell r="O109">
            <v>4127031</v>
          </cell>
          <cell r="P109">
            <v>4543775</v>
          </cell>
          <cell r="T109">
            <v>106</v>
          </cell>
          <cell r="U109" t="str">
            <v xml:space="preserve">Industrial </v>
          </cell>
          <cell r="W109"/>
          <cell r="X109">
            <v>364605</v>
          </cell>
          <cell r="Y109">
            <v>721269</v>
          </cell>
          <cell r="Z109">
            <v>1125755</v>
          </cell>
          <cell r="AA109">
            <v>1483988</v>
          </cell>
          <cell r="AB109">
            <v>1810597</v>
          </cell>
          <cell r="AC109">
            <v>2159391</v>
          </cell>
          <cell r="AD109">
            <v>2511719</v>
          </cell>
          <cell r="AE109">
            <v>2852347</v>
          </cell>
          <cell r="AF109">
            <v>3188556</v>
          </cell>
          <cell r="AG109">
            <v>3537696</v>
          </cell>
          <cell r="AH109">
            <v>3914347</v>
          </cell>
          <cell r="AI109">
            <v>4294573</v>
          </cell>
        </row>
        <row r="110">
          <cell r="A110">
            <v>107</v>
          </cell>
          <cell r="B110" t="str">
            <v>Other</v>
          </cell>
          <cell r="D110"/>
          <cell r="E110">
            <v>167819</v>
          </cell>
          <cell r="F110">
            <v>314988</v>
          </cell>
          <cell r="G110">
            <v>487910</v>
          </cell>
          <cell r="H110">
            <v>632113</v>
          </cell>
          <cell r="I110">
            <v>798853</v>
          </cell>
          <cell r="J110">
            <v>947111</v>
          </cell>
          <cell r="K110">
            <v>1041077</v>
          </cell>
          <cell r="L110">
            <v>1164849</v>
          </cell>
          <cell r="M110">
            <v>1281993</v>
          </cell>
          <cell r="N110">
            <v>1470865</v>
          </cell>
          <cell r="O110">
            <v>1669840</v>
          </cell>
          <cell r="P110">
            <v>1875761</v>
          </cell>
          <cell r="T110">
            <v>107</v>
          </cell>
          <cell r="U110" t="str">
            <v>Other</v>
          </cell>
          <cell r="W110"/>
          <cell r="X110">
            <v>-12891</v>
          </cell>
          <cell r="Y110">
            <v>44023</v>
          </cell>
          <cell r="Z110">
            <v>40382</v>
          </cell>
          <cell r="AA110">
            <v>-6463</v>
          </cell>
          <cell r="AB110">
            <v>-5798</v>
          </cell>
          <cell r="AC110">
            <v>-5324</v>
          </cell>
          <cell r="AD110">
            <v>135656</v>
          </cell>
          <cell r="AE110">
            <v>311162</v>
          </cell>
          <cell r="AF110">
            <v>395101</v>
          </cell>
          <cell r="AG110">
            <v>542150</v>
          </cell>
          <cell r="AH110">
            <v>696443</v>
          </cell>
          <cell r="AI110">
            <v>846115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962112</v>
          </cell>
          <cell r="F111">
            <v>1831254</v>
          </cell>
          <cell r="G111">
            <v>2749187</v>
          </cell>
          <cell r="H111">
            <v>3578766</v>
          </cell>
          <cell r="I111">
            <v>4344967</v>
          </cell>
          <cell r="J111">
            <v>5072841</v>
          </cell>
          <cell r="K111">
            <v>5750806</v>
          </cell>
          <cell r="L111">
            <v>6425283</v>
          </cell>
          <cell r="M111">
            <v>7103860</v>
          </cell>
          <cell r="N111">
            <v>7868802</v>
          </cell>
          <cell r="O111">
            <v>8695337</v>
          </cell>
          <cell r="P111">
            <v>9633096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757464</v>
          </cell>
          <cell r="Y111">
            <v>1583765</v>
          </cell>
          <cell r="Z111">
            <v>2365380</v>
          </cell>
          <cell r="AA111">
            <v>2990202</v>
          </cell>
          <cell r="AB111">
            <v>3594885</v>
          </cell>
          <cell r="AC111">
            <v>4175918</v>
          </cell>
          <cell r="AD111">
            <v>4876016</v>
          </cell>
          <cell r="AE111">
            <v>5581159</v>
          </cell>
          <cell r="AF111">
            <v>6211494</v>
          </cell>
          <cell r="AG111">
            <v>6931192</v>
          </cell>
          <cell r="AH111">
            <v>7732936</v>
          </cell>
          <cell r="AI111">
            <v>8583436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V113"/>
          <cell r="W113"/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59567</v>
          </cell>
          <cell r="F114">
            <v>59639</v>
          </cell>
          <cell r="G114">
            <v>59733</v>
          </cell>
          <cell r="H114">
            <v>59827</v>
          </cell>
          <cell r="I114">
            <v>59873</v>
          </cell>
          <cell r="J114">
            <v>59903</v>
          </cell>
          <cell r="K114">
            <v>59926</v>
          </cell>
          <cell r="L114">
            <v>59928</v>
          </cell>
          <cell r="M114">
            <v>59935</v>
          </cell>
          <cell r="N114">
            <v>59949</v>
          </cell>
          <cell r="O114">
            <v>59986</v>
          </cell>
          <cell r="P114">
            <v>60033</v>
          </cell>
          <cell r="T114">
            <v>111</v>
          </cell>
          <cell r="U114" t="str">
            <v xml:space="preserve">Customers </v>
          </cell>
          <cell r="V114"/>
          <cell r="W114"/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652762.68380562856</v>
          </cell>
          <cell r="F115">
            <v>1334490.2132632192</v>
          </cell>
          <cell r="G115">
            <v>1954315.6100886161</v>
          </cell>
          <cell r="H115">
            <v>2630177.7193494984</v>
          </cell>
          <cell r="I115">
            <v>3229745.6422241698</v>
          </cell>
          <cell r="J115">
            <v>3793813.1268867464</v>
          </cell>
          <cell r="K115">
            <v>4331540.3642029408</v>
          </cell>
          <cell r="L115">
            <v>4865823.5465965532</v>
          </cell>
          <cell r="M115">
            <v>5389467.4262342975</v>
          </cell>
          <cell r="N115">
            <v>5942057.4544746326</v>
          </cell>
          <cell r="O115">
            <v>6555558.0874476582</v>
          </cell>
          <cell r="P115">
            <v>7270446.5868146848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670322</v>
          </cell>
          <cell r="F116">
            <v>1370388</v>
          </cell>
          <cell r="G116">
            <v>2006887</v>
          </cell>
          <cell r="H116">
            <v>2700930</v>
          </cell>
          <cell r="I116">
            <v>3316626</v>
          </cell>
          <cell r="J116">
            <v>3895867</v>
          </cell>
          <cell r="K116">
            <v>4448059</v>
          </cell>
          <cell r="L116">
            <v>4996714</v>
          </cell>
          <cell r="M116">
            <v>5534444</v>
          </cell>
          <cell r="N116">
            <v>6101899</v>
          </cell>
          <cell r="O116">
            <v>6731903</v>
          </cell>
          <cell r="P116">
            <v>7466022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3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294886</v>
          </cell>
          <cell r="D5">
            <v>294886</v>
          </cell>
          <cell r="E5">
            <v>24372</v>
          </cell>
          <cell r="F5">
            <v>24421</v>
          </cell>
          <cell r="G5">
            <v>24519</v>
          </cell>
          <cell r="H5">
            <v>24560</v>
          </cell>
          <cell r="I5">
            <v>24597</v>
          </cell>
          <cell r="J5">
            <v>24588</v>
          </cell>
          <cell r="K5">
            <v>24556</v>
          </cell>
          <cell r="L5">
            <v>24643</v>
          </cell>
          <cell r="M5">
            <v>24685</v>
          </cell>
          <cell r="N5">
            <v>24678</v>
          </cell>
          <cell r="O5">
            <v>24633</v>
          </cell>
          <cell r="P5">
            <v>24634</v>
          </cell>
          <cell r="T5">
            <v>2</v>
          </cell>
          <cell r="U5" t="str">
            <v>Residential</v>
          </cell>
          <cell r="V5"/>
          <cell r="W5"/>
          <cell r="X5">
            <v>24140</v>
          </cell>
          <cell r="Y5">
            <v>24172</v>
          </cell>
          <cell r="Z5">
            <v>24190</v>
          </cell>
          <cell r="AA5">
            <v>24203</v>
          </cell>
          <cell r="AB5">
            <v>24287</v>
          </cell>
          <cell r="AC5">
            <v>24314</v>
          </cell>
          <cell r="AD5">
            <v>24378</v>
          </cell>
          <cell r="AE5">
            <v>24356</v>
          </cell>
          <cell r="AF5">
            <v>24368</v>
          </cell>
          <cell r="AG5">
            <v>24338</v>
          </cell>
          <cell r="AH5">
            <v>24371</v>
          </cell>
          <cell r="AI5">
            <v>24345</v>
          </cell>
        </row>
        <row r="6">
          <cell r="A6">
            <v>3</v>
          </cell>
          <cell r="B6" t="str">
            <v>Commercial</v>
          </cell>
          <cell r="C6">
            <v>89395</v>
          </cell>
          <cell r="D6">
            <v>89395</v>
          </cell>
          <cell r="E6">
            <v>7441</v>
          </cell>
          <cell r="F6">
            <v>7454</v>
          </cell>
          <cell r="G6">
            <v>7443</v>
          </cell>
          <cell r="H6">
            <v>7419</v>
          </cell>
          <cell r="I6">
            <v>7431</v>
          </cell>
          <cell r="J6">
            <v>7437</v>
          </cell>
          <cell r="K6">
            <v>7437</v>
          </cell>
          <cell r="L6">
            <v>7461</v>
          </cell>
          <cell r="M6">
            <v>7467</v>
          </cell>
          <cell r="N6">
            <v>7462</v>
          </cell>
          <cell r="O6">
            <v>7478</v>
          </cell>
          <cell r="P6">
            <v>7465</v>
          </cell>
          <cell r="T6">
            <v>3</v>
          </cell>
          <cell r="U6" t="str">
            <v>Commercial</v>
          </cell>
          <cell r="V6"/>
          <cell r="W6"/>
          <cell r="X6">
            <v>7387</v>
          </cell>
          <cell r="Y6">
            <v>7386</v>
          </cell>
          <cell r="Z6">
            <v>7384</v>
          </cell>
          <cell r="AA6">
            <v>7388</v>
          </cell>
          <cell r="AB6">
            <v>7426</v>
          </cell>
          <cell r="AC6">
            <v>7416</v>
          </cell>
          <cell r="AD6">
            <v>7393</v>
          </cell>
          <cell r="AE6">
            <v>7404</v>
          </cell>
          <cell r="AF6">
            <v>7408</v>
          </cell>
          <cell r="AG6">
            <v>7415</v>
          </cell>
          <cell r="AH6">
            <v>7417</v>
          </cell>
          <cell r="AI6">
            <v>7428</v>
          </cell>
        </row>
        <row r="7">
          <cell r="A7">
            <v>4</v>
          </cell>
          <cell r="B7" t="str">
            <v xml:space="preserve">Industrial </v>
          </cell>
          <cell r="C7">
            <v>24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/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384305</v>
          </cell>
          <cell r="D9">
            <v>384305</v>
          </cell>
          <cell r="E9">
            <v>31815</v>
          </cell>
          <cell r="F9">
            <v>31877</v>
          </cell>
          <cell r="G9">
            <v>31964</v>
          </cell>
          <cell r="H9">
            <v>31981</v>
          </cell>
          <cell r="I9">
            <v>32030</v>
          </cell>
          <cell r="J9">
            <v>32027</v>
          </cell>
          <cell r="K9">
            <v>31995</v>
          </cell>
          <cell r="L9">
            <v>32106</v>
          </cell>
          <cell r="M9">
            <v>32154</v>
          </cell>
          <cell r="N9">
            <v>32142</v>
          </cell>
          <cell r="O9">
            <v>32113</v>
          </cell>
          <cell r="P9">
            <v>32101</v>
          </cell>
          <cell r="T9">
            <v>6</v>
          </cell>
          <cell r="U9" t="str">
            <v>Total customers</v>
          </cell>
          <cell r="V9"/>
          <cell r="W9"/>
          <cell r="X9">
            <v>31529</v>
          </cell>
          <cell r="Y9">
            <v>31560</v>
          </cell>
          <cell r="Z9">
            <v>31576</v>
          </cell>
          <cell r="AA9">
            <v>31593</v>
          </cell>
          <cell r="AB9">
            <v>31715</v>
          </cell>
          <cell r="AC9">
            <v>31732</v>
          </cell>
          <cell r="AD9">
            <v>31773</v>
          </cell>
          <cell r="AE9">
            <v>31762</v>
          </cell>
          <cell r="AF9">
            <v>31778</v>
          </cell>
          <cell r="AG9">
            <v>31755</v>
          </cell>
          <cell r="AH9">
            <v>31790</v>
          </cell>
          <cell r="AI9">
            <v>31775</v>
          </cell>
        </row>
        <row r="10">
          <cell r="A10">
            <v>7</v>
          </cell>
          <cell r="E10">
            <v>31827</v>
          </cell>
          <cell r="F10">
            <v>31889</v>
          </cell>
          <cell r="G10">
            <v>31976</v>
          </cell>
          <cell r="H10">
            <v>31993</v>
          </cell>
          <cell r="I10">
            <v>32042</v>
          </cell>
          <cell r="J10">
            <v>32039</v>
          </cell>
          <cell r="K10">
            <v>32007</v>
          </cell>
          <cell r="L10">
            <v>32118</v>
          </cell>
          <cell r="M10">
            <v>32166</v>
          </cell>
          <cell r="N10">
            <v>32154</v>
          </cell>
          <cell r="O10">
            <v>32126</v>
          </cell>
          <cell r="P10">
            <v>32114</v>
          </cell>
          <cell r="T10">
            <v>7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291510.49900000007</v>
          </cell>
          <cell r="E12">
            <v>23380.919000000002</v>
          </cell>
          <cell r="F12">
            <v>19491.59</v>
          </cell>
          <cell r="G12">
            <v>18453.791000000001</v>
          </cell>
          <cell r="H12">
            <v>20346.208999999999</v>
          </cell>
          <cell r="I12">
            <v>21122.703000000001</v>
          </cell>
          <cell r="J12">
            <v>27829.132000000001</v>
          </cell>
          <cell r="K12">
            <v>33002.945</v>
          </cell>
          <cell r="L12">
            <v>30875.004000000001</v>
          </cell>
          <cell r="M12">
            <v>30010.624</v>
          </cell>
          <cell r="N12">
            <v>25999.722000000002</v>
          </cell>
          <cell r="O12">
            <v>19674.449000000001</v>
          </cell>
          <cell r="P12">
            <v>21323.411</v>
          </cell>
          <cell r="T12">
            <v>9</v>
          </cell>
          <cell r="U12" t="str">
            <v>Residential</v>
          </cell>
          <cell r="W12"/>
          <cell r="X12">
            <v>26324.956999999999</v>
          </cell>
          <cell r="Y12">
            <v>26440.554</v>
          </cell>
          <cell r="Z12">
            <v>21157.383999999998</v>
          </cell>
          <cell r="AA12">
            <v>18283.126</v>
          </cell>
          <cell r="AB12">
            <v>20008.702000000001</v>
          </cell>
          <cell r="AC12">
            <v>29579.780999999999</v>
          </cell>
          <cell r="AD12">
            <v>33969.85</v>
          </cell>
          <cell r="AE12">
            <v>33300.748</v>
          </cell>
          <cell r="AF12">
            <v>32625.659</v>
          </cell>
          <cell r="AG12">
            <v>24354.197</v>
          </cell>
          <cell r="AH12">
            <v>17902.687999999998</v>
          </cell>
          <cell r="AI12">
            <v>19705.948</v>
          </cell>
        </row>
        <row r="13">
          <cell r="A13">
            <v>10</v>
          </cell>
          <cell r="B13" t="str">
            <v>Commercial</v>
          </cell>
          <cell r="D13">
            <v>301667.57399999996</v>
          </cell>
          <cell r="E13">
            <v>22683.006000000001</v>
          </cell>
          <cell r="F13">
            <v>20864.488000000001</v>
          </cell>
          <cell r="G13">
            <v>21314.923999999999</v>
          </cell>
          <cell r="H13">
            <v>23223.17</v>
          </cell>
          <cell r="I13">
            <v>23325.282999999999</v>
          </cell>
          <cell r="J13">
            <v>28217.326000000001</v>
          </cell>
          <cell r="K13">
            <v>29994.738000000001</v>
          </cell>
          <cell r="L13">
            <v>29142.581999999999</v>
          </cell>
          <cell r="M13">
            <v>29780.047999999999</v>
          </cell>
          <cell r="N13">
            <v>27136.592000000001</v>
          </cell>
          <cell r="O13">
            <v>24035.550999999999</v>
          </cell>
          <cell r="P13">
            <v>21949.866000000002</v>
          </cell>
          <cell r="T13">
            <v>10</v>
          </cell>
          <cell r="U13" t="str">
            <v>Commercial</v>
          </cell>
          <cell r="W13"/>
          <cell r="X13">
            <v>24341.325000000001</v>
          </cell>
          <cell r="Y13">
            <v>21858.546999999999</v>
          </cell>
          <cell r="Z13">
            <v>21915.324000000001</v>
          </cell>
          <cell r="AA13">
            <v>22803.163</v>
          </cell>
          <cell r="AB13">
            <v>23534.401000000002</v>
          </cell>
          <cell r="AC13">
            <v>28733.311000000002</v>
          </cell>
          <cell r="AD13">
            <v>28797.101999999999</v>
          </cell>
          <cell r="AE13">
            <v>30263.07</v>
          </cell>
          <cell r="AF13">
            <v>30953.199000000001</v>
          </cell>
          <cell r="AG13">
            <v>26594.61</v>
          </cell>
          <cell r="AH13">
            <v>22404.634999999998</v>
          </cell>
          <cell r="AI13">
            <v>22258.975999999999</v>
          </cell>
        </row>
        <row r="14">
          <cell r="A14">
            <v>11</v>
          </cell>
          <cell r="B14" t="str">
            <v xml:space="preserve">Industrial </v>
          </cell>
          <cell r="D14">
            <v>27380</v>
          </cell>
          <cell r="E14">
            <v>1590</v>
          </cell>
          <cell r="F14">
            <v>240</v>
          </cell>
          <cell r="G14">
            <v>1330</v>
          </cell>
          <cell r="H14">
            <v>1850</v>
          </cell>
          <cell r="I14">
            <v>2090</v>
          </cell>
          <cell r="J14">
            <v>810</v>
          </cell>
          <cell r="K14">
            <v>620</v>
          </cell>
          <cell r="L14">
            <v>1950</v>
          </cell>
          <cell r="M14">
            <v>1770</v>
          </cell>
          <cell r="N14">
            <v>730</v>
          </cell>
          <cell r="O14">
            <v>11590</v>
          </cell>
          <cell r="P14">
            <v>2810</v>
          </cell>
          <cell r="T14">
            <v>11</v>
          </cell>
          <cell r="U14" t="str">
            <v xml:space="preserve">Industrial </v>
          </cell>
          <cell r="W14"/>
          <cell r="X14">
            <v>2570</v>
          </cell>
          <cell r="Y14">
            <v>2720</v>
          </cell>
          <cell r="Z14">
            <v>1390</v>
          </cell>
          <cell r="AA14">
            <v>1440</v>
          </cell>
          <cell r="AB14">
            <v>1210</v>
          </cell>
          <cell r="AC14">
            <v>2250</v>
          </cell>
          <cell r="AD14">
            <v>980</v>
          </cell>
          <cell r="AE14">
            <v>2340</v>
          </cell>
          <cell r="AF14">
            <v>2570</v>
          </cell>
          <cell r="AG14">
            <v>7610</v>
          </cell>
          <cell r="AH14">
            <v>4420</v>
          </cell>
          <cell r="AI14">
            <v>200</v>
          </cell>
        </row>
        <row r="15">
          <cell r="A15">
            <v>12</v>
          </cell>
          <cell r="B15" t="str">
            <v>Other</v>
          </cell>
          <cell r="D15">
            <v>7511.3280000000004</v>
          </cell>
          <cell r="E15">
            <v>623.37199999999996</v>
          </cell>
          <cell r="F15">
            <v>623.69600000000003</v>
          </cell>
          <cell r="G15">
            <v>625.43399999999997</v>
          </cell>
          <cell r="H15">
            <v>624.65</v>
          </cell>
          <cell r="I15">
            <v>625.85299999999995</v>
          </cell>
          <cell r="J15">
            <v>623.88400000000001</v>
          </cell>
          <cell r="K15">
            <v>624.69299999999998</v>
          </cell>
          <cell r="L15">
            <v>627.04</v>
          </cell>
          <cell r="M15">
            <v>627.95600000000002</v>
          </cell>
          <cell r="N15">
            <v>627.34500000000003</v>
          </cell>
          <cell r="O15">
            <v>627.92700000000002</v>
          </cell>
          <cell r="P15">
            <v>629.47799999999995</v>
          </cell>
          <cell r="T15">
            <v>12</v>
          </cell>
          <cell r="U15" t="str">
            <v>Other</v>
          </cell>
          <cell r="W15"/>
          <cell r="X15">
            <v>1318.0475200000001</v>
          </cell>
          <cell r="Y15">
            <v>661.97400000000005</v>
          </cell>
          <cell r="Z15">
            <v>657.04200000000003</v>
          </cell>
          <cell r="AA15">
            <v>648.48</v>
          </cell>
          <cell r="AB15">
            <v>650.59400000000005</v>
          </cell>
          <cell r="AC15">
            <v>662.40200000000004</v>
          </cell>
          <cell r="AD15">
            <v>656.27300000000002</v>
          </cell>
          <cell r="AE15">
            <v>661.15200000000004</v>
          </cell>
          <cell r="AF15">
            <v>661.351</v>
          </cell>
          <cell r="AG15">
            <v>659.39799999999991</v>
          </cell>
          <cell r="AH15">
            <v>623.85400000000004</v>
          </cell>
          <cell r="AI15">
            <v>623.15599999999995</v>
          </cell>
        </row>
        <row r="16">
          <cell r="A16">
            <v>13</v>
          </cell>
          <cell r="B16" t="str">
            <v>Total Deliveries</v>
          </cell>
          <cell r="C16"/>
          <cell r="D16">
            <v>628069.40100000007</v>
          </cell>
          <cell r="E16">
            <v>48277.297000000006</v>
          </cell>
          <cell r="F16">
            <v>41219.774000000005</v>
          </cell>
          <cell r="G16">
            <v>41724.148999999998</v>
          </cell>
          <cell r="H16">
            <v>46044.029000000002</v>
          </cell>
          <cell r="I16">
            <v>47163.839000000007</v>
          </cell>
          <cell r="J16">
            <v>57480.341999999997</v>
          </cell>
          <cell r="K16">
            <v>64242.376000000004</v>
          </cell>
          <cell r="L16">
            <v>62594.625999999997</v>
          </cell>
          <cell r="M16">
            <v>62188.627999999997</v>
          </cell>
          <cell r="N16">
            <v>54493.659</v>
          </cell>
          <cell r="O16">
            <v>55927.927000000003</v>
          </cell>
          <cell r="P16">
            <v>46712.755000000005</v>
          </cell>
          <cell r="T16">
            <v>13</v>
          </cell>
          <cell r="U16" t="str">
            <v>Total Deliveries</v>
          </cell>
          <cell r="V16"/>
          <cell r="W16"/>
          <cell r="X16">
            <v>54554.329519999999</v>
          </cell>
          <cell r="Y16">
            <v>51681.074999999997</v>
          </cell>
          <cell r="Z16">
            <v>45119.75</v>
          </cell>
          <cell r="AA16">
            <v>43174.769000000008</v>
          </cell>
          <cell r="AB16">
            <v>45403.697</v>
          </cell>
          <cell r="AC16">
            <v>61225.494000000006</v>
          </cell>
          <cell r="AD16">
            <v>64403.224999999999</v>
          </cell>
          <cell r="AE16">
            <v>66564.97</v>
          </cell>
          <cell r="AF16">
            <v>66810.209000000003</v>
          </cell>
          <cell r="AG16">
            <v>59218.205000000002</v>
          </cell>
          <cell r="AH16">
            <v>45351.176999999996</v>
          </cell>
          <cell r="AI16">
            <v>42788.08</v>
          </cell>
        </row>
        <row r="17">
          <cell r="A17">
            <v>14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</row>
        <row r="18">
          <cell r="A18">
            <v>15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31729</v>
          </cell>
          <cell r="F20">
            <v>31788</v>
          </cell>
          <cell r="G20">
            <v>31831</v>
          </cell>
          <cell r="H20">
            <v>31858</v>
          </cell>
          <cell r="I20">
            <v>31891</v>
          </cell>
          <cell r="J20">
            <v>31923</v>
          </cell>
          <cell r="K20">
            <v>31936</v>
          </cell>
          <cell r="L20">
            <v>31928</v>
          </cell>
          <cell r="M20">
            <v>31920</v>
          </cell>
          <cell r="N20">
            <v>31880</v>
          </cell>
          <cell r="O20">
            <v>31926</v>
          </cell>
          <cell r="P20">
            <v>31911</v>
          </cell>
          <cell r="T20">
            <v>17</v>
          </cell>
          <cell r="X20">
            <v>32498</v>
          </cell>
          <cell r="Y20">
            <v>31866</v>
          </cell>
          <cell r="Z20">
            <v>31941</v>
          </cell>
          <cell r="AA20">
            <v>32016</v>
          </cell>
          <cell r="AB20">
            <v>31979</v>
          </cell>
          <cell r="AC20">
            <v>32071</v>
          </cell>
          <cell r="AD20">
            <v>32072</v>
          </cell>
          <cell r="AE20">
            <v>31996</v>
          </cell>
          <cell r="AF20">
            <v>32017</v>
          </cell>
          <cell r="AG20">
            <v>31965</v>
          </cell>
          <cell r="AH20">
            <v>31964</v>
          </cell>
          <cell r="AI20">
            <v>31970</v>
          </cell>
        </row>
        <row r="21">
          <cell r="A21">
            <v>18</v>
          </cell>
          <cell r="B21" t="str">
            <v>Volume (KWH)</v>
          </cell>
          <cell r="C21"/>
          <cell r="D21"/>
          <cell r="E21">
            <v>56588.516000000003</v>
          </cell>
          <cell r="F21">
            <v>50968.468000000001</v>
          </cell>
          <cell r="G21">
            <v>45312.502999999997</v>
          </cell>
          <cell r="H21">
            <v>42099.792000000001</v>
          </cell>
          <cell r="I21">
            <v>44527.938000000002</v>
          </cell>
          <cell r="J21">
            <v>53558.296000000002</v>
          </cell>
          <cell r="K21">
            <v>65700.703999999998</v>
          </cell>
          <cell r="L21">
            <v>64415.542000000001</v>
          </cell>
          <cell r="M21">
            <v>60348.042000000001</v>
          </cell>
          <cell r="N21">
            <v>47823.288999999997</v>
          </cell>
          <cell r="O21">
            <v>43869.203000000001</v>
          </cell>
          <cell r="P21">
            <v>45951.063999999998</v>
          </cell>
          <cell r="T21">
            <v>18</v>
          </cell>
          <cell r="X21">
            <v>56539.516000000003</v>
          </cell>
          <cell r="Y21">
            <v>56788.883999999998</v>
          </cell>
          <cell r="Z21">
            <v>51125.248</v>
          </cell>
          <cell r="AA21">
            <v>43851.938000000002</v>
          </cell>
          <cell r="AB21">
            <v>48397.271999999997</v>
          </cell>
          <cell r="AC21">
            <v>56706.097000000002</v>
          </cell>
          <cell r="AD21">
            <v>68382.289999999994</v>
          </cell>
          <cell r="AE21">
            <v>64587.491999999998</v>
          </cell>
          <cell r="AF21">
            <v>64503.875</v>
          </cell>
          <cell r="AG21">
            <v>51223.741000000002</v>
          </cell>
          <cell r="AH21">
            <v>46213.260999999999</v>
          </cell>
          <cell r="AI21">
            <v>50756.002</v>
          </cell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</row>
        <row r="24">
          <cell r="A24">
            <v>21</v>
          </cell>
          <cell r="B24"/>
          <cell r="E24"/>
          <cell r="F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E25"/>
          <cell r="F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/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293979</v>
          </cell>
          <cell r="D27">
            <v>293979</v>
          </cell>
          <cell r="E27">
            <v>24372</v>
          </cell>
          <cell r="F27">
            <v>24397</v>
          </cell>
          <cell r="G27">
            <v>24437</v>
          </cell>
          <cell r="H27">
            <v>24468</v>
          </cell>
          <cell r="I27">
            <v>24494</v>
          </cell>
          <cell r="J27">
            <v>24510</v>
          </cell>
          <cell r="K27">
            <v>24516</v>
          </cell>
          <cell r="L27">
            <v>24532</v>
          </cell>
          <cell r="M27">
            <v>24549</v>
          </cell>
          <cell r="N27">
            <v>24562</v>
          </cell>
          <cell r="O27">
            <v>24568</v>
          </cell>
          <cell r="P27">
            <v>24574</v>
          </cell>
          <cell r="T27">
            <v>24</v>
          </cell>
          <cell r="U27" t="str">
            <v>Residential</v>
          </cell>
          <cell r="V27"/>
          <cell r="W27"/>
          <cell r="X27">
            <v>24140</v>
          </cell>
          <cell r="Y27">
            <v>24156</v>
          </cell>
          <cell r="Z27">
            <v>24167</v>
          </cell>
          <cell r="AA27">
            <v>24176</v>
          </cell>
          <cell r="AB27">
            <v>24198</v>
          </cell>
          <cell r="AC27">
            <v>24218</v>
          </cell>
          <cell r="AD27">
            <v>24241</v>
          </cell>
          <cell r="AE27">
            <v>24255</v>
          </cell>
          <cell r="AF27">
            <v>24268</v>
          </cell>
          <cell r="AG27">
            <v>24275</v>
          </cell>
          <cell r="AH27">
            <v>24283</v>
          </cell>
          <cell r="AI27">
            <v>24289</v>
          </cell>
        </row>
        <row r="28">
          <cell r="A28">
            <v>25</v>
          </cell>
          <cell r="B28" t="str">
            <v>Commercial</v>
          </cell>
          <cell r="C28">
            <v>89313</v>
          </cell>
          <cell r="D28">
            <v>89313</v>
          </cell>
          <cell r="E28">
            <v>7441</v>
          </cell>
          <cell r="F28">
            <v>7448</v>
          </cell>
          <cell r="G28">
            <v>7446</v>
          </cell>
          <cell r="H28">
            <v>7439</v>
          </cell>
          <cell r="I28">
            <v>7438</v>
          </cell>
          <cell r="J28">
            <v>7438</v>
          </cell>
          <cell r="K28">
            <v>7437</v>
          </cell>
          <cell r="L28">
            <v>7440</v>
          </cell>
          <cell r="M28">
            <v>7443</v>
          </cell>
          <cell r="N28">
            <v>7445</v>
          </cell>
          <cell r="O28">
            <v>7448</v>
          </cell>
          <cell r="P28">
            <v>7450</v>
          </cell>
          <cell r="T28">
            <v>25</v>
          </cell>
          <cell r="U28" t="str">
            <v>Commercial</v>
          </cell>
          <cell r="V28"/>
          <cell r="W28"/>
          <cell r="X28">
            <v>7387</v>
          </cell>
          <cell r="Y28">
            <v>7387</v>
          </cell>
          <cell r="Z28">
            <v>7386</v>
          </cell>
          <cell r="AA28">
            <v>7386</v>
          </cell>
          <cell r="AB28">
            <v>7394</v>
          </cell>
          <cell r="AC28">
            <v>7398</v>
          </cell>
          <cell r="AD28">
            <v>7397</v>
          </cell>
          <cell r="AE28">
            <v>7398</v>
          </cell>
          <cell r="AF28">
            <v>7399</v>
          </cell>
          <cell r="AG28">
            <v>7401</v>
          </cell>
          <cell r="AH28">
            <v>7402</v>
          </cell>
          <cell r="AI28">
            <v>7404</v>
          </cell>
        </row>
        <row r="29">
          <cell r="A29">
            <v>26</v>
          </cell>
          <cell r="B29" t="str">
            <v xml:space="preserve">Industrial </v>
          </cell>
          <cell r="C29">
            <v>24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/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V30"/>
          <cell r="W30"/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28</v>
          </cell>
          <cell r="B31" t="str">
            <v>Total customers</v>
          </cell>
          <cell r="C31">
            <v>383316</v>
          </cell>
          <cell r="D31">
            <v>383316</v>
          </cell>
          <cell r="E31">
            <v>31815</v>
          </cell>
          <cell r="F31">
            <v>31847</v>
          </cell>
          <cell r="G31">
            <v>31885</v>
          </cell>
          <cell r="H31">
            <v>31909</v>
          </cell>
          <cell r="I31">
            <v>31934</v>
          </cell>
          <cell r="J31">
            <v>31950</v>
          </cell>
          <cell r="K31">
            <v>31955</v>
          </cell>
          <cell r="L31">
            <v>31974</v>
          </cell>
          <cell r="M31">
            <v>31994</v>
          </cell>
          <cell r="N31">
            <v>32009</v>
          </cell>
          <cell r="O31">
            <v>32018</v>
          </cell>
          <cell r="P31">
            <v>32026</v>
          </cell>
          <cell r="T31">
            <v>28</v>
          </cell>
          <cell r="U31" t="str">
            <v>Total customers</v>
          </cell>
          <cell r="V31"/>
          <cell r="W31"/>
          <cell r="X31">
            <v>31529</v>
          </cell>
          <cell r="Y31">
            <v>31545</v>
          </cell>
          <cell r="Z31">
            <v>31555</v>
          </cell>
          <cell r="AA31">
            <v>31564</v>
          </cell>
          <cell r="AB31">
            <v>31594</v>
          </cell>
          <cell r="AC31">
            <v>31618</v>
          </cell>
          <cell r="AD31">
            <v>31640</v>
          </cell>
          <cell r="AE31">
            <v>31655</v>
          </cell>
          <cell r="AF31">
            <v>31669</v>
          </cell>
          <cell r="AG31">
            <v>31678</v>
          </cell>
          <cell r="AH31">
            <v>31687</v>
          </cell>
          <cell r="AI31">
            <v>31695</v>
          </cell>
        </row>
        <row r="32">
          <cell r="A32">
            <v>29</v>
          </cell>
          <cell r="E32"/>
          <cell r="F32"/>
          <cell r="G32"/>
          <cell r="T32">
            <v>29</v>
          </cell>
          <cell r="Z32"/>
        </row>
        <row r="33">
          <cell r="A33">
            <v>30</v>
          </cell>
          <cell r="E33"/>
          <cell r="F33"/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23380.919000000002</v>
          </cell>
          <cell r="F35">
            <v>42872.509000000005</v>
          </cell>
          <cell r="G35">
            <v>61326.3</v>
          </cell>
          <cell r="H35">
            <v>81672.509000000005</v>
          </cell>
          <cell r="I35">
            <v>102795.212</v>
          </cell>
          <cell r="J35">
            <v>130624.344</v>
          </cell>
          <cell r="K35">
            <v>163627.28899999999</v>
          </cell>
          <cell r="L35">
            <v>194502.29300000001</v>
          </cell>
          <cell r="M35">
            <v>224512.91700000002</v>
          </cell>
          <cell r="N35">
            <v>250512.63900000002</v>
          </cell>
          <cell r="O35">
            <v>270187.08800000005</v>
          </cell>
          <cell r="P35">
            <v>291510.49900000007</v>
          </cell>
          <cell r="T35">
            <v>32</v>
          </cell>
          <cell r="U35" t="str">
            <v>Residential</v>
          </cell>
          <cell r="W35"/>
          <cell r="X35">
            <v>26324.956999999999</v>
          </cell>
          <cell r="Y35">
            <v>52765.510999999999</v>
          </cell>
          <cell r="Z35">
            <v>73922.89499999999</v>
          </cell>
          <cell r="AA35">
            <v>92206.020999999993</v>
          </cell>
          <cell r="AB35">
            <v>112214.723</v>
          </cell>
          <cell r="AC35">
            <v>141794.50399999999</v>
          </cell>
          <cell r="AD35">
            <v>175764.35399999999</v>
          </cell>
          <cell r="AE35">
            <v>209065.10199999998</v>
          </cell>
          <cell r="AF35">
            <v>241690.761</v>
          </cell>
          <cell r="AG35">
            <v>266044.95799999998</v>
          </cell>
          <cell r="AH35">
            <v>283947.64600000001</v>
          </cell>
          <cell r="AI35">
            <v>303653.59399999998</v>
          </cell>
        </row>
        <row r="36">
          <cell r="A36">
            <v>33</v>
          </cell>
          <cell r="B36" t="str">
            <v>Commercial</v>
          </cell>
          <cell r="D36"/>
          <cell r="E36">
            <v>22683.006000000001</v>
          </cell>
          <cell r="F36">
            <v>43547.494000000006</v>
          </cell>
          <cell r="G36">
            <v>64862.418000000005</v>
          </cell>
          <cell r="H36">
            <v>88085.588000000003</v>
          </cell>
          <cell r="I36">
            <v>111410.871</v>
          </cell>
          <cell r="J36">
            <v>139628.19699999999</v>
          </cell>
          <cell r="K36">
            <v>169622.935</v>
          </cell>
          <cell r="L36">
            <v>198765.51699999999</v>
          </cell>
          <cell r="M36">
            <v>228545.565</v>
          </cell>
          <cell r="N36">
            <v>255682.15700000001</v>
          </cell>
          <cell r="O36">
            <v>279717.70799999998</v>
          </cell>
          <cell r="P36">
            <v>301667.57399999996</v>
          </cell>
          <cell r="T36">
            <v>33</v>
          </cell>
          <cell r="U36" t="str">
            <v>Commercial</v>
          </cell>
          <cell r="W36"/>
          <cell r="X36">
            <v>24341.325000000001</v>
          </cell>
          <cell r="Y36">
            <v>46199.872000000003</v>
          </cell>
          <cell r="Z36">
            <v>68115.195999999996</v>
          </cell>
          <cell r="AA36">
            <v>90918.358999999997</v>
          </cell>
          <cell r="AB36">
            <v>114452.76</v>
          </cell>
          <cell r="AC36">
            <v>143186.071</v>
          </cell>
          <cell r="AD36">
            <v>171983.17300000001</v>
          </cell>
          <cell r="AE36">
            <v>202246.24300000002</v>
          </cell>
          <cell r="AF36">
            <v>233199.44200000001</v>
          </cell>
          <cell r="AG36">
            <v>259794.05200000003</v>
          </cell>
          <cell r="AH36">
            <v>282198.68700000003</v>
          </cell>
          <cell r="AI36">
            <v>304457.66300000006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1590</v>
          </cell>
          <cell r="F37">
            <v>1830</v>
          </cell>
          <cell r="G37">
            <v>3160</v>
          </cell>
          <cell r="H37">
            <v>5010</v>
          </cell>
          <cell r="I37">
            <v>7100</v>
          </cell>
          <cell r="J37">
            <v>7910</v>
          </cell>
          <cell r="K37">
            <v>8530</v>
          </cell>
          <cell r="L37">
            <v>10480</v>
          </cell>
          <cell r="M37">
            <v>12250</v>
          </cell>
          <cell r="N37">
            <v>12980</v>
          </cell>
          <cell r="O37">
            <v>24570</v>
          </cell>
          <cell r="P37">
            <v>27380</v>
          </cell>
          <cell r="T37">
            <v>34</v>
          </cell>
          <cell r="U37" t="str">
            <v xml:space="preserve">Industrial </v>
          </cell>
          <cell r="W37"/>
          <cell r="X37">
            <v>2570</v>
          </cell>
          <cell r="Y37">
            <v>5290</v>
          </cell>
          <cell r="Z37">
            <v>6680</v>
          </cell>
          <cell r="AA37">
            <v>8120</v>
          </cell>
          <cell r="AB37">
            <v>9330</v>
          </cell>
          <cell r="AC37">
            <v>11580</v>
          </cell>
          <cell r="AD37">
            <v>12560</v>
          </cell>
          <cell r="AE37">
            <v>14900</v>
          </cell>
          <cell r="AF37">
            <v>17470</v>
          </cell>
          <cell r="AG37">
            <v>25080</v>
          </cell>
          <cell r="AH37">
            <v>29500</v>
          </cell>
          <cell r="AI37">
            <v>29700</v>
          </cell>
        </row>
        <row r="38">
          <cell r="A38">
            <v>35</v>
          </cell>
          <cell r="B38" t="str">
            <v>Other</v>
          </cell>
          <cell r="D38"/>
          <cell r="E38">
            <v>623.37199999999996</v>
          </cell>
          <cell r="F38">
            <v>1247.068</v>
          </cell>
          <cell r="G38">
            <v>1872.502</v>
          </cell>
          <cell r="H38">
            <v>2497.152</v>
          </cell>
          <cell r="I38">
            <v>3123.0050000000001</v>
          </cell>
          <cell r="J38">
            <v>3746.8890000000001</v>
          </cell>
          <cell r="K38">
            <v>4371.5820000000003</v>
          </cell>
          <cell r="L38">
            <v>4998.6220000000003</v>
          </cell>
          <cell r="M38">
            <v>5626.5780000000004</v>
          </cell>
          <cell r="N38">
            <v>6253.9230000000007</v>
          </cell>
          <cell r="O38">
            <v>6881.85</v>
          </cell>
          <cell r="P38">
            <v>7511.3280000000004</v>
          </cell>
          <cell r="T38">
            <v>35</v>
          </cell>
          <cell r="U38" t="str">
            <v>Other</v>
          </cell>
          <cell r="W38"/>
          <cell r="X38">
            <v>1318.0475200000001</v>
          </cell>
          <cell r="Y38">
            <v>1980.0215200000002</v>
          </cell>
          <cell r="Z38">
            <v>2637.0635200000002</v>
          </cell>
          <cell r="AA38">
            <v>3285.5435200000002</v>
          </cell>
          <cell r="AB38">
            <v>3936.1375200000002</v>
          </cell>
          <cell r="AC38">
            <v>4598.5395200000003</v>
          </cell>
          <cell r="AD38">
            <v>5254.8125200000004</v>
          </cell>
          <cell r="AE38">
            <v>5915.9645200000004</v>
          </cell>
          <cell r="AF38">
            <v>6577.3155200000001</v>
          </cell>
          <cell r="AG38">
            <v>7236.7135200000002</v>
          </cell>
          <cell r="AH38">
            <v>7860.5675200000005</v>
          </cell>
          <cell r="AI38">
            <v>8483.7235199999996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48277.297000000006</v>
          </cell>
          <cell r="F39">
            <v>89497.071000000011</v>
          </cell>
          <cell r="G39">
            <v>131221.22</v>
          </cell>
          <cell r="H39">
            <v>177265.24900000001</v>
          </cell>
          <cell r="I39">
            <v>224429.08799999999</v>
          </cell>
          <cell r="J39">
            <v>281909.43</v>
          </cell>
          <cell r="K39">
            <v>346151.80599999998</v>
          </cell>
          <cell r="L39">
            <v>408746.43199999997</v>
          </cell>
          <cell r="M39">
            <v>470935.06</v>
          </cell>
          <cell r="N39">
            <v>525428.71900000004</v>
          </cell>
          <cell r="O39">
            <v>581356.64600000007</v>
          </cell>
          <cell r="P39">
            <v>628069.40100000007</v>
          </cell>
          <cell r="T39">
            <v>36</v>
          </cell>
          <cell r="U39" t="str">
            <v>Total Deliveries</v>
          </cell>
          <cell r="V39"/>
          <cell r="W39"/>
          <cell r="X39">
            <v>54554.329519999999</v>
          </cell>
          <cell r="Y39">
            <v>106235.40452</v>
          </cell>
          <cell r="Z39">
            <v>151355.15451999998</v>
          </cell>
          <cell r="AA39">
            <v>194529.92352000001</v>
          </cell>
          <cell r="AB39">
            <v>239933.62052</v>
          </cell>
          <cell r="AC39">
            <v>301159.11451999994</v>
          </cell>
          <cell r="AD39">
            <v>365562.33951999998</v>
          </cell>
          <cell r="AE39">
            <v>432127.30951999995</v>
          </cell>
          <cell r="AF39">
            <v>498937.51851999998</v>
          </cell>
          <cell r="AG39">
            <v>558155.72352</v>
          </cell>
          <cell r="AH39">
            <v>603506.90052000014</v>
          </cell>
          <cell r="AI39">
            <v>646294.98051999998</v>
          </cell>
        </row>
        <row r="40">
          <cell r="A40">
            <v>37</v>
          </cell>
          <cell r="E40"/>
          <cell r="F40"/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38</v>
          </cell>
          <cell r="B43" t="str">
            <v xml:space="preserve">BUDGET </v>
          </cell>
          <cell r="C43"/>
          <cell r="D43"/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A44">
            <v>39</v>
          </cell>
          <cell r="B44" t="str">
            <v>Customers  - YTD average</v>
          </cell>
          <cell r="C44"/>
          <cell r="D44"/>
          <cell r="E44">
            <v>31729</v>
          </cell>
          <cell r="F44">
            <v>31759</v>
          </cell>
          <cell r="G44">
            <v>31783</v>
          </cell>
          <cell r="H44">
            <v>31802</v>
          </cell>
          <cell r="I44">
            <v>31819</v>
          </cell>
          <cell r="J44">
            <v>31837</v>
          </cell>
          <cell r="K44">
            <v>31851</v>
          </cell>
          <cell r="L44">
            <v>31861</v>
          </cell>
          <cell r="M44">
            <v>31867</v>
          </cell>
          <cell r="N44">
            <v>31868</v>
          </cell>
          <cell r="O44">
            <v>31874</v>
          </cell>
          <cell r="P44">
            <v>31877</v>
          </cell>
          <cell r="T44">
            <v>39</v>
          </cell>
          <cell r="X44">
            <v>32498</v>
          </cell>
          <cell r="Y44">
            <v>32182</v>
          </cell>
          <cell r="Z44">
            <v>32102</v>
          </cell>
          <cell r="AA44">
            <v>32080</v>
          </cell>
          <cell r="AB44">
            <v>32060</v>
          </cell>
          <cell r="AC44">
            <v>32062</v>
          </cell>
          <cell r="AD44">
            <v>32063</v>
          </cell>
          <cell r="AE44">
            <v>32055</v>
          </cell>
          <cell r="AF44">
            <v>32051</v>
          </cell>
          <cell r="AG44">
            <v>32042</v>
          </cell>
          <cell r="AH44">
            <v>32035</v>
          </cell>
          <cell r="AI44">
            <v>32030</v>
          </cell>
        </row>
        <row r="45">
          <cell r="A45">
            <v>40</v>
          </cell>
          <cell r="B45" t="str">
            <v>Volume (KWH)- cumulative total</v>
          </cell>
          <cell r="C45"/>
          <cell r="D45"/>
          <cell r="E45">
            <v>56588.516000000003</v>
          </cell>
          <cell r="F45">
            <v>107556.984</v>
          </cell>
          <cell r="G45">
            <v>152869.48699999999</v>
          </cell>
          <cell r="H45">
            <v>194969.27899999998</v>
          </cell>
          <cell r="I45">
            <v>239497.21699999998</v>
          </cell>
          <cell r="J45">
            <v>293055.51299999998</v>
          </cell>
          <cell r="K45">
            <v>358756.21699999995</v>
          </cell>
          <cell r="L45">
            <v>423171.75899999996</v>
          </cell>
          <cell r="M45">
            <v>483519.80099999998</v>
          </cell>
          <cell r="N45">
            <v>531343.09</v>
          </cell>
          <cell r="O45">
            <v>575212.29299999995</v>
          </cell>
          <cell r="P45">
            <v>621163.35699999996</v>
          </cell>
          <cell r="T45">
            <v>40</v>
          </cell>
          <cell r="X45">
            <v>56539.516000000003</v>
          </cell>
          <cell r="Y45">
            <v>113328.4</v>
          </cell>
          <cell r="Z45">
            <v>164453.64799999999</v>
          </cell>
          <cell r="AA45">
            <v>208305.58599999998</v>
          </cell>
          <cell r="AB45">
            <v>256702.85799999998</v>
          </cell>
          <cell r="AC45">
            <v>313408.95499999996</v>
          </cell>
          <cell r="AD45">
            <v>381791.24499999994</v>
          </cell>
          <cell r="AE45">
            <v>446378.73699999996</v>
          </cell>
          <cell r="AF45">
            <v>510882.61199999996</v>
          </cell>
          <cell r="AG45">
            <v>562106.353</v>
          </cell>
          <cell r="AH45">
            <v>608319.61400000006</v>
          </cell>
          <cell r="AI45">
            <v>659075.61600000004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17</v>
          </cell>
          <cell r="D7">
            <v>207</v>
          </cell>
          <cell r="E7">
            <v>17</v>
          </cell>
          <cell r="F7">
            <v>16</v>
          </cell>
          <cell r="G7">
            <v>17</v>
          </cell>
          <cell r="H7">
            <v>16</v>
          </cell>
          <cell r="I7">
            <v>16</v>
          </cell>
          <cell r="J7">
            <v>18</v>
          </cell>
          <cell r="K7">
            <v>18</v>
          </cell>
          <cell r="L7">
            <v>18</v>
          </cell>
          <cell r="M7">
            <v>18</v>
          </cell>
          <cell r="N7">
            <v>18</v>
          </cell>
          <cell r="O7">
            <v>18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18</v>
          </cell>
          <cell r="W7">
            <v>215</v>
          </cell>
          <cell r="X7">
            <v>22</v>
          </cell>
          <cell r="Y7">
            <v>17</v>
          </cell>
          <cell r="Z7">
            <v>17</v>
          </cell>
          <cell r="AA7">
            <v>17</v>
          </cell>
          <cell r="AB7">
            <v>18</v>
          </cell>
          <cell r="AC7">
            <v>17</v>
          </cell>
          <cell r="AD7">
            <v>18</v>
          </cell>
          <cell r="AE7">
            <v>17</v>
          </cell>
          <cell r="AF7">
            <v>19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14</v>
          </cell>
          <cell r="D9">
            <v>171</v>
          </cell>
          <cell r="E9">
            <v>14</v>
          </cell>
          <cell r="F9">
            <v>13</v>
          </cell>
          <cell r="G9">
            <v>14</v>
          </cell>
          <cell r="H9">
            <v>13</v>
          </cell>
          <cell r="I9">
            <v>13</v>
          </cell>
          <cell r="J9">
            <v>15</v>
          </cell>
          <cell r="K9">
            <v>15</v>
          </cell>
          <cell r="L9">
            <v>15</v>
          </cell>
          <cell r="M9">
            <v>15</v>
          </cell>
          <cell r="N9">
            <v>15</v>
          </cell>
          <cell r="O9">
            <v>15</v>
          </cell>
          <cell r="P9">
            <v>14</v>
          </cell>
          <cell r="T9">
            <v>6</v>
          </cell>
          <cell r="U9" t="str">
            <v>Total customers</v>
          </cell>
          <cell r="V9">
            <v>15</v>
          </cell>
          <cell r="W9">
            <v>179</v>
          </cell>
          <cell r="X9">
            <v>19</v>
          </cell>
          <cell r="Y9">
            <v>14</v>
          </cell>
          <cell r="Z9">
            <v>14</v>
          </cell>
          <cell r="AA9">
            <v>14</v>
          </cell>
          <cell r="AB9">
            <v>15</v>
          </cell>
          <cell r="AC9">
            <v>14</v>
          </cell>
          <cell r="AD9">
            <v>15</v>
          </cell>
          <cell r="AE9">
            <v>14</v>
          </cell>
          <cell r="AF9">
            <v>16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(2017)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50296416</v>
          </cell>
          <cell r="E14">
            <v>5122614</v>
          </cell>
          <cell r="F14">
            <v>4447121</v>
          </cell>
          <cell r="G14">
            <v>4925992</v>
          </cell>
          <cell r="H14">
            <v>2823107</v>
          </cell>
          <cell r="I14">
            <v>3886464</v>
          </cell>
          <cell r="J14">
            <v>3825043</v>
          </cell>
          <cell r="K14">
            <v>3904214</v>
          </cell>
          <cell r="L14">
            <v>4010738</v>
          </cell>
          <cell r="M14">
            <v>4091180</v>
          </cell>
          <cell r="N14">
            <v>4085739</v>
          </cell>
          <cell r="O14">
            <v>3880900</v>
          </cell>
          <cell r="P14">
            <v>5293304</v>
          </cell>
          <cell r="T14">
            <v>11</v>
          </cell>
          <cell r="U14" t="str">
            <v>Transportation firm</v>
          </cell>
          <cell r="W14"/>
          <cell r="X14">
            <v>5120571</v>
          </cell>
          <cell r="Y14">
            <v>4898898</v>
          </cell>
          <cell r="Z14">
            <v>4430208</v>
          </cell>
          <cell r="AA14">
            <v>4232997</v>
          </cell>
          <cell r="AB14">
            <v>3597487</v>
          </cell>
          <cell r="AC14">
            <v>3605282</v>
          </cell>
          <cell r="AD14">
            <v>4338435</v>
          </cell>
          <cell r="AE14">
            <v>4313372</v>
          </cell>
          <cell r="AF14">
            <v>3919457</v>
          </cell>
          <cell r="AG14">
            <v>4305707</v>
          </cell>
          <cell r="AH14">
            <v>3539559</v>
          </cell>
          <cell r="AI14">
            <v>4883139</v>
          </cell>
        </row>
        <row r="15">
          <cell r="A15">
            <v>12</v>
          </cell>
          <cell r="B15" t="str">
            <v>Interruptible transportation</v>
          </cell>
          <cell r="D15">
            <v>1344320</v>
          </cell>
          <cell r="E15">
            <v>142031</v>
          </cell>
          <cell r="F15">
            <v>66447</v>
          </cell>
          <cell r="G15">
            <v>25037</v>
          </cell>
          <cell r="H15">
            <v>26041</v>
          </cell>
          <cell r="I15">
            <v>72552</v>
          </cell>
          <cell r="J15">
            <v>81262</v>
          </cell>
          <cell r="K15">
            <v>90847</v>
          </cell>
          <cell r="L15">
            <v>136911</v>
          </cell>
          <cell r="M15">
            <v>465001</v>
          </cell>
          <cell r="N15">
            <v>96565</v>
          </cell>
          <cell r="O15">
            <v>49723</v>
          </cell>
          <cell r="P15">
            <v>91903</v>
          </cell>
          <cell r="T15">
            <v>12</v>
          </cell>
          <cell r="U15" t="str">
            <v>Interruptible transporation</v>
          </cell>
          <cell r="W15"/>
          <cell r="X15">
            <v>158171</v>
          </cell>
          <cell r="Y15">
            <v>119137</v>
          </cell>
          <cell r="Z15">
            <v>176962</v>
          </cell>
          <cell r="AA15">
            <v>81823</v>
          </cell>
          <cell r="AB15">
            <v>91948</v>
          </cell>
          <cell r="AC15">
            <v>98113</v>
          </cell>
          <cell r="AD15">
            <v>373395</v>
          </cell>
          <cell r="AE15">
            <v>330847</v>
          </cell>
          <cell r="AF15">
            <v>259547</v>
          </cell>
          <cell r="AG15">
            <v>113421</v>
          </cell>
          <cell r="AH15">
            <v>48219</v>
          </cell>
          <cell r="AI15">
            <v>45148</v>
          </cell>
        </row>
        <row r="16">
          <cell r="A16">
            <v>13</v>
          </cell>
          <cell r="B16" t="str">
            <v>Less: ESNG to DE, MD &amp; SP</v>
          </cell>
          <cell r="D16">
            <v>-11373352</v>
          </cell>
          <cell r="E16">
            <v>-1569792</v>
          </cell>
          <cell r="F16">
            <v>-1205900</v>
          </cell>
          <cell r="G16">
            <v>-1391398</v>
          </cell>
          <cell r="H16">
            <v>-720462</v>
          </cell>
          <cell r="I16">
            <v>-662446</v>
          </cell>
          <cell r="J16">
            <v>-554613</v>
          </cell>
          <cell r="K16">
            <v>-516867</v>
          </cell>
          <cell r="L16">
            <v>-580117</v>
          </cell>
          <cell r="M16">
            <v>-612571</v>
          </cell>
          <cell r="N16">
            <v>-721278</v>
          </cell>
          <cell r="O16">
            <v>-1128586</v>
          </cell>
          <cell r="P16">
            <v>-1709322</v>
          </cell>
          <cell r="T16">
            <v>13</v>
          </cell>
          <cell r="U16" t="str">
            <v>Less: ESNG to DE, MD and SP</v>
          </cell>
          <cell r="W16"/>
          <cell r="X16">
            <v>-1696097</v>
          </cell>
          <cell r="Y16">
            <v>-1469209</v>
          </cell>
          <cell r="Z16">
            <v>-1299910</v>
          </cell>
          <cell r="AA16">
            <v>-873655</v>
          </cell>
          <cell r="AB16">
            <v>-682658</v>
          </cell>
          <cell r="AC16">
            <v>-550733</v>
          </cell>
          <cell r="AD16">
            <v>-511945</v>
          </cell>
          <cell r="AE16">
            <v>-545478</v>
          </cell>
          <cell r="AF16">
            <v>-572139</v>
          </cell>
          <cell r="AG16">
            <v>-761874</v>
          </cell>
          <cell r="AH16">
            <v>-1011573</v>
          </cell>
          <cell r="AI16">
            <v>-1514939</v>
          </cell>
        </row>
        <row r="17">
          <cell r="A17">
            <v>14</v>
          </cell>
          <cell r="B17" t="str">
            <v>Total Deliveries</v>
          </cell>
          <cell r="C17"/>
          <cell r="D17">
            <v>40267384</v>
          </cell>
          <cell r="E17">
            <v>3694853</v>
          </cell>
          <cell r="F17">
            <v>3307668</v>
          </cell>
          <cell r="G17">
            <v>3559631</v>
          </cell>
          <cell r="H17">
            <v>2128686</v>
          </cell>
          <cell r="I17">
            <v>3296570</v>
          </cell>
          <cell r="J17">
            <v>3351692</v>
          </cell>
          <cell r="K17">
            <v>3478194</v>
          </cell>
          <cell r="L17">
            <v>3567532</v>
          </cell>
          <cell r="M17">
            <v>3943610</v>
          </cell>
          <cell r="N17">
            <v>3461026</v>
          </cell>
          <cell r="O17">
            <v>2802037</v>
          </cell>
          <cell r="P17">
            <v>3675885</v>
          </cell>
          <cell r="T17">
            <v>14</v>
          </cell>
          <cell r="U17" t="str">
            <v>Total Deliveries</v>
          </cell>
          <cell r="V17"/>
          <cell r="W17"/>
          <cell r="X17">
            <v>3582645</v>
          </cell>
          <cell r="Y17">
            <v>3548826</v>
          </cell>
          <cell r="Z17">
            <v>3307260</v>
          </cell>
          <cell r="AA17">
            <v>3441165</v>
          </cell>
          <cell r="AB17">
            <v>3006777</v>
          </cell>
          <cell r="AC17">
            <v>3152662</v>
          </cell>
          <cell r="AD17">
            <v>4199885</v>
          </cell>
          <cell r="AE17">
            <v>4098741</v>
          </cell>
          <cell r="AF17">
            <v>3606865</v>
          </cell>
          <cell r="AG17">
            <v>3657254</v>
          </cell>
          <cell r="AH17">
            <v>2576205</v>
          </cell>
          <cell r="AI17">
            <v>3413348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1.05027</v>
          </cell>
          <cell r="F20">
            <v>1.04891</v>
          </cell>
          <cell r="G20">
            <v>1.04809</v>
          </cell>
          <cell r="H20">
            <v>1.0459099999999999</v>
          </cell>
          <cell r="I20">
            <v>1.0445599999999999</v>
          </cell>
          <cell r="J20">
            <v>1.0474600000000001</v>
          </cell>
          <cell r="K20">
            <v>1.04823</v>
          </cell>
          <cell r="L20">
            <v>1.04386</v>
          </cell>
          <cell r="M20">
            <v>1.04697</v>
          </cell>
          <cell r="N20">
            <v>1.04914</v>
          </cell>
          <cell r="O20">
            <v>1.0493600000000001</v>
          </cell>
          <cell r="P20">
            <v>1.05077</v>
          </cell>
          <cell r="T20">
            <v>17</v>
          </cell>
          <cell r="X20">
            <v>1.0596099999999999</v>
          </cell>
          <cell r="Y20">
            <v>1.05722</v>
          </cell>
          <cell r="Z20">
            <v>1.0540400000000001</v>
          </cell>
          <cell r="AA20">
            <v>1.0559400000000001</v>
          </cell>
          <cell r="AB20">
            <v>1.0512300000000001</v>
          </cell>
          <cell r="AC20">
            <v>1.0520799999999999</v>
          </cell>
          <cell r="AD20">
            <v>1.0566500000000001</v>
          </cell>
          <cell r="AE20">
            <v>1.05559</v>
          </cell>
          <cell r="AF20">
            <v>1.0542199999999999</v>
          </cell>
          <cell r="AG20">
            <v>1.05263</v>
          </cell>
          <cell r="AH20">
            <v>1.05226</v>
          </cell>
          <cell r="AI20">
            <v>1.05254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C22"/>
          <cell r="D22">
            <v>52710105.79366</v>
          </cell>
          <cell r="E22">
            <v>5380128</v>
          </cell>
          <cell r="F22">
            <v>4664630</v>
          </cell>
          <cell r="G22">
            <v>5162883</v>
          </cell>
          <cell r="H22">
            <v>2952716</v>
          </cell>
          <cell r="I22">
            <v>4059644.8358399998</v>
          </cell>
          <cell r="J22">
            <v>4006579.5407800004</v>
          </cell>
          <cell r="K22">
            <v>4092514.2412200002</v>
          </cell>
          <cell r="L22">
            <v>4186648.9686799999</v>
          </cell>
          <cell r="M22">
            <v>4283342.7245999994</v>
          </cell>
          <cell r="N22">
            <v>4286512.2144599995</v>
          </cell>
          <cell r="O22">
            <v>4072461.2240000004</v>
          </cell>
          <cell r="P22">
            <v>5562045.0440799994</v>
          </cell>
          <cell r="T22">
            <v>19</v>
          </cell>
          <cell r="U22" t="str">
            <v>Transportation firm</v>
          </cell>
          <cell r="W22"/>
          <cell r="X22">
            <v>5425808.2373099998</v>
          </cell>
          <cell r="Y22">
            <v>5179212.9435600005</v>
          </cell>
          <cell r="Z22">
            <v>4669616.4403200001</v>
          </cell>
          <cell r="AA22">
            <v>4469790.8521800004</v>
          </cell>
          <cell r="AB22">
            <v>3781786.2590100006</v>
          </cell>
          <cell r="AC22">
            <v>3793045.0865599997</v>
          </cell>
          <cell r="AD22">
            <v>4584207.3427500008</v>
          </cell>
          <cell r="AE22">
            <v>4553152.3494800003</v>
          </cell>
          <cell r="AF22">
            <v>4131969.9585399996</v>
          </cell>
          <cell r="AG22">
            <v>4532316.35941</v>
          </cell>
          <cell r="AH22">
            <v>3724536.3533399999</v>
          </cell>
          <cell r="AI22">
            <v>5139699.1230600001</v>
          </cell>
        </row>
        <row r="23">
          <cell r="A23">
            <v>20</v>
          </cell>
          <cell r="B23" t="str">
            <v>Interruptible transportation</v>
          </cell>
          <cell r="C23"/>
          <cell r="D23">
            <v>1408292.6225700001</v>
          </cell>
          <cell r="E23">
            <v>149171</v>
          </cell>
          <cell r="F23">
            <v>69697</v>
          </cell>
          <cell r="G23">
            <v>26241</v>
          </cell>
          <cell r="H23">
            <v>27237</v>
          </cell>
          <cell r="I23">
            <v>75784.917119999998</v>
          </cell>
          <cell r="J23">
            <v>85118.694520000005</v>
          </cell>
          <cell r="K23">
            <v>95228.550810000001</v>
          </cell>
          <cell r="L23">
            <v>142915.91646000001</v>
          </cell>
          <cell r="M23">
            <v>486842.09696999996</v>
          </cell>
          <cell r="N23">
            <v>101310.2041</v>
          </cell>
          <cell r="O23">
            <v>52177.327280000005</v>
          </cell>
          <cell r="P23">
            <v>96568.915309999997</v>
          </cell>
          <cell r="T23">
            <v>20</v>
          </cell>
          <cell r="U23" t="str">
            <v>Interruptible transportation</v>
          </cell>
          <cell r="W23"/>
          <cell r="X23">
            <v>167599.57330999998</v>
          </cell>
          <cell r="Y23">
            <v>125954.01914</v>
          </cell>
          <cell r="Z23">
            <v>186525.02648000003</v>
          </cell>
          <cell r="AA23">
            <v>86400.178620000006</v>
          </cell>
          <cell r="AB23">
            <v>96658.496040000013</v>
          </cell>
          <cell r="AC23">
            <v>103222.72503999999</v>
          </cell>
          <cell r="AD23">
            <v>394547.82675000001</v>
          </cell>
          <cell r="AE23">
            <v>349238.78473000001</v>
          </cell>
          <cell r="AF23">
            <v>273619.63834</v>
          </cell>
          <cell r="AG23">
            <v>119390.34723</v>
          </cell>
          <cell r="AH23">
            <v>50738.924939999997</v>
          </cell>
          <cell r="AI23">
            <v>47520.075920000003</v>
          </cell>
        </row>
        <row r="24">
          <cell r="A24">
            <v>21</v>
          </cell>
          <cell r="B24" t="str">
            <v>Less: ESNG to DE, MD &amp; SP</v>
          </cell>
          <cell r="C24"/>
          <cell r="D24">
            <v>-11924152.297459999</v>
          </cell>
          <cell r="E24">
            <v>-1648705</v>
          </cell>
          <cell r="F24">
            <v>-1264881</v>
          </cell>
          <cell r="G24">
            <v>-1458310</v>
          </cell>
          <cell r="H24">
            <v>-753538</v>
          </cell>
          <cell r="I24">
            <v>-691964.59375999996</v>
          </cell>
          <cell r="J24">
            <v>-580934.93298000004</v>
          </cell>
          <cell r="K24">
            <v>-541795.49540999997</v>
          </cell>
          <cell r="L24">
            <v>-605560.93162000005</v>
          </cell>
          <cell r="M24">
            <v>-641343.45987000002</v>
          </cell>
          <cell r="N24">
            <v>-756721.60092</v>
          </cell>
          <cell r="O24">
            <v>-1184293.00496</v>
          </cell>
          <cell r="P24">
            <v>-1796104.2779399999</v>
          </cell>
          <cell r="T24">
            <v>21</v>
          </cell>
          <cell r="U24" t="str">
            <v>Less: ESNG to DE, MD and SP</v>
          </cell>
          <cell r="W24"/>
          <cell r="X24">
            <v>-1797201.3421699998</v>
          </cell>
          <cell r="Y24">
            <v>-1553277.13898</v>
          </cell>
          <cell r="Z24">
            <v>-1370157.1364000002</v>
          </cell>
          <cell r="AA24">
            <v>-922527.2607000001</v>
          </cell>
          <cell r="AB24">
            <v>-717630.56934000005</v>
          </cell>
          <cell r="AC24">
            <v>-579415.17463999998</v>
          </cell>
          <cell r="AD24">
            <v>-540946.68425000005</v>
          </cell>
          <cell r="AE24">
            <v>-575801.12202000001</v>
          </cell>
          <cell r="AF24">
            <v>-603160.37657999992</v>
          </cell>
          <cell r="AG24">
            <v>-801971.42862000002</v>
          </cell>
          <cell r="AH24">
            <v>-1064437.80498</v>
          </cell>
          <cell r="AI24">
            <v>-1594533.89506</v>
          </cell>
        </row>
        <row r="25">
          <cell r="A25">
            <v>22</v>
          </cell>
          <cell r="B25" t="str">
            <v>Total Deliveries</v>
          </cell>
          <cell r="C25"/>
          <cell r="D25">
            <v>42194246.118770003</v>
          </cell>
          <cell r="E25">
            <v>3880594</v>
          </cell>
          <cell r="F25">
            <v>3469446</v>
          </cell>
          <cell r="G25">
            <v>3730814</v>
          </cell>
          <cell r="H25">
            <v>2226415</v>
          </cell>
          <cell r="I25">
            <v>3443465.1591999996</v>
          </cell>
          <cell r="J25">
            <v>3510763.3023200002</v>
          </cell>
          <cell r="K25">
            <v>3645947.2966200002</v>
          </cell>
          <cell r="L25">
            <v>3724003.95352</v>
          </cell>
          <cell r="M25">
            <v>4128841.3616999998</v>
          </cell>
          <cell r="N25">
            <v>3631100.8176399991</v>
          </cell>
          <cell r="O25">
            <v>2940345.5463200002</v>
          </cell>
          <cell r="P25">
            <v>3862509.6814499996</v>
          </cell>
          <cell r="T25">
            <v>22</v>
          </cell>
          <cell r="U25" t="str">
            <v>Total Deliveries</v>
          </cell>
          <cell r="V25"/>
          <cell r="W25"/>
          <cell r="X25">
            <v>3796206.4684499996</v>
          </cell>
          <cell r="Y25">
            <v>3751889.8237200007</v>
          </cell>
          <cell r="Z25">
            <v>3485984.3304000003</v>
          </cell>
          <cell r="AA25">
            <v>3633663.7701000008</v>
          </cell>
          <cell r="AB25">
            <v>3160814.1857100008</v>
          </cell>
          <cell r="AC25">
            <v>3316852.6369599998</v>
          </cell>
          <cell r="AD25">
            <v>4437808.4852500008</v>
          </cell>
          <cell r="AE25">
            <v>4326590.0121900011</v>
          </cell>
          <cell r="AF25">
            <v>3802429.2202999992</v>
          </cell>
          <cell r="AG25">
            <v>3849735.2780200006</v>
          </cell>
          <cell r="AH25">
            <v>2710837.4732999997</v>
          </cell>
          <cell r="AI25">
            <v>3592685.3039199999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36395147</v>
          </cell>
          <cell r="E29">
            <v>4690933</v>
          </cell>
          <cell r="F29">
            <v>4028874</v>
          </cell>
          <cell r="G29">
            <v>3730463</v>
          </cell>
          <cell r="H29">
            <v>2972851</v>
          </cell>
          <cell r="I29">
            <v>2735408</v>
          </cell>
          <cell r="J29">
            <v>2128282</v>
          </cell>
          <cell r="K29">
            <v>2198752</v>
          </cell>
          <cell r="L29">
            <v>2271341</v>
          </cell>
          <cell r="M29">
            <v>2224208</v>
          </cell>
          <cell r="N29">
            <v>2493721</v>
          </cell>
          <cell r="O29">
            <v>3253632</v>
          </cell>
          <cell r="P29">
            <v>3666682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-10598033</v>
          </cell>
          <cell r="E30">
            <v>-1708461</v>
          </cell>
          <cell r="F30">
            <v>-1434930</v>
          </cell>
          <cell r="G30">
            <v>-1069086</v>
          </cell>
          <cell r="H30">
            <v>-889919</v>
          </cell>
          <cell r="I30">
            <v>-691556</v>
          </cell>
          <cell r="J30">
            <v>-514051</v>
          </cell>
          <cell r="K30">
            <v>-480799</v>
          </cell>
          <cell r="L30">
            <v>-512092</v>
          </cell>
          <cell r="M30">
            <v>-556741</v>
          </cell>
          <cell r="N30">
            <v>-735456</v>
          </cell>
          <cell r="O30">
            <v>-903877</v>
          </cell>
          <cell r="P30">
            <v>-1101065</v>
          </cell>
          <cell r="T30">
            <v>27</v>
          </cell>
        </row>
        <row r="31">
          <cell r="A31">
            <v>28</v>
          </cell>
          <cell r="D31">
            <v>25797114</v>
          </cell>
          <cell r="E31">
            <v>2982472</v>
          </cell>
          <cell r="F31">
            <v>2593944</v>
          </cell>
          <cell r="G31">
            <v>2661377</v>
          </cell>
          <cell r="H31">
            <v>2082932</v>
          </cell>
          <cell r="I31">
            <v>2043852</v>
          </cell>
          <cell r="J31">
            <v>1614231</v>
          </cell>
          <cell r="K31">
            <v>1717953</v>
          </cell>
          <cell r="L31">
            <v>1759249</v>
          </cell>
          <cell r="M31">
            <v>1667467</v>
          </cell>
          <cell r="N31">
            <v>1758265</v>
          </cell>
          <cell r="O31">
            <v>2349755</v>
          </cell>
          <cell r="P31">
            <v>2565617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37668977.144999996</v>
          </cell>
          <cell r="E33">
            <v>4855115.6549999993</v>
          </cell>
          <cell r="F33">
            <v>4169884.59</v>
          </cell>
          <cell r="G33">
            <v>3861029.2049999996</v>
          </cell>
          <cell r="H33">
            <v>3076900.7849999997</v>
          </cell>
          <cell r="I33">
            <v>2831147.28</v>
          </cell>
          <cell r="J33">
            <v>2202771.8699999996</v>
          </cell>
          <cell r="K33">
            <v>2275708.3199999998</v>
          </cell>
          <cell r="L33">
            <v>2350837.9349999996</v>
          </cell>
          <cell r="M33">
            <v>2302055.2799999998</v>
          </cell>
          <cell r="N33">
            <v>2581001.2349999999</v>
          </cell>
          <cell r="O33">
            <v>3367509.1199999996</v>
          </cell>
          <cell r="P33">
            <v>3795015.8699999996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-10968964.154999999</v>
          </cell>
          <cell r="E34">
            <v>-1768257.1349999998</v>
          </cell>
          <cell r="F34">
            <v>-1485152.5499999998</v>
          </cell>
          <cell r="G34">
            <v>-1106504.01</v>
          </cell>
          <cell r="H34">
            <v>-921066.16499999992</v>
          </cell>
          <cell r="I34">
            <v>-715760.46</v>
          </cell>
          <cell r="J34">
            <v>-532042.78499999992</v>
          </cell>
          <cell r="K34">
            <v>-497626.96499999997</v>
          </cell>
          <cell r="L34">
            <v>-530015.22</v>
          </cell>
          <cell r="M34">
            <v>-576226.93499999994</v>
          </cell>
          <cell r="N34">
            <v>-761196.96</v>
          </cell>
          <cell r="O34">
            <v>-935512.69499999995</v>
          </cell>
          <cell r="P34">
            <v>-1139602.2749999999</v>
          </cell>
          <cell r="T34">
            <v>31</v>
          </cell>
        </row>
        <row r="35">
          <cell r="A35">
            <v>32</v>
          </cell>
          <cell r="D35">
            <v>26700012.989999995</v>
          </cell>
          <cell r="E35">
            <v>3086858.5199999996</v>
          </cell>
          <cell r="F35">
            <v>2684732.04</v>
          </cell>
          <cell r="G35">
            <v>2754525.1949999994</v>
          </cell>
          <cell r="H35">
            <v>2155834.6199999996</v>
          </cell>
          <cell r="I35">
            <v>2115386.8199999998</v>
          </cell>
          <cell r="J35">
            <v>1670729.0849999997</v>
          </cell>
          <cell r="K35">
            <v>1778081.355</v>
          </cell>
          <cell r="L35">
            <v>1820822.7149999996</v>
          </cell>
          <cell r="M35">
            <v>1725828.3449999997</v>
          </cell>
          <cell r="N35">
            <v>1819804.2749999999</v>
          </cell>
          <cell r="O35">
            <v>2431996.4249999998</v>
          </cell>
          <cell r="P35">
            <v>2655413.5949999997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17</v>
          </cell>
          <cell r="F43">
            <v>16.5</v>
          </cell>
          <cell r="G43">
            <v>16.666666666666668</v>
          </cell>
          <cell r="H43">
            <v>16.5</v>
          </cell>
          <cell r="I43">
            <v>16.399999999999999</v>
          </cell>
          <cell r="J43">
            <v>16.666666666666668</v>
          </cell>
          <cell r="K43">
            <v>16.857142857142858</v>
          </cell>
          <cell r="L43">
            <v>17</v>
          </cell>
          <cell r="M43">
            <v>17.111111111111111</v>
          </cell>
          <cell r="N43">
            <v>17.2</v>
          </cell>
          <cell r="O43">
            <v>17.272727272727273</v>
          </cell>
          <cell r="P43">
            <v>17.25</v>
          </cell>
          <cell r="T43">
            <v>40</v>
          </cell>
          <cell r="U43" t="str">
            <v>Interruptible transporation</v>
          </cell>
          <cell r="V43"/>
          <cell r="W43"/>
          <cell r="X43">
            <v>22</v>
          </cell>
          <cell r="Y43">
            <v>19.5</v>
          </cell>
          <cell r="Z43">
            <v>18.666666666666668</v>
          </cell>
          <cell r="AA43">
            <v>18.25</v>
          </cell>
          <cell r="AB43">
            <v>18.2</v>
          </cell>
          <cell r="AC43">
            <v>18</v>
          </cell>
          <cell r="AD43">
            <v>18</v>
          </cell>
          <cell r="AE43">
            <v>17.875</v>
          </cell>
          <cell r="AF43">
            <v>18</v>
          </cell>
          <cell r="AG43">
            <v>18</v>
          </cell>
          <cell r="AH43">
            <v>18</v>
          </cell>
          <cell r="AI43">
            <v>17.916666666666668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14</v>
          </cell>
          <cell r="F45">
            <v>13.5</v>
          </cell>
          <cell r="G45">
            <v>13.666666666666668</v>
          </cell>
          <cell r="H45">
            <v>13.5</v>
          </cell>
          <cell r="I45">
            <v>13.399999999999999</v>
          </cell>
          <cell r="J45">
            <v>13.666666666666668</v>
          </cell>
          <cell r="K45">
            <v>13.857142857142858</v>
          </cell>
          <cell r="L45">
            <v>14</v>
          </cell>
          <cell r="M45">
            <v>14.111111111111111</v>
          </cell>
          <cell r="N45">
            <v>14.2</v>
          </cell>
          <cell r="O45">
            <v>14.272727272727273</v>
          </cell>
          <cell r="P45">
            <v>14.25</v>
          </cell>
          <cell r="T45">
            <v>42</v>
          </cell>
          <cell r="U45" t="str">
            <v>Total customers</v>
          </cell>
          <cell r="V45"/>
          <cell r="W45"/>
          <cell r="X45">
            <v>19</v>
          </cell>
          <cell r="Y45">
            <v>16.5</v>
          </cell>
          <cell r="Z45">
            <v>15.666666666666668</v>
          </cell>
          <cell r="AA45">
            <v>15.25</v>
          </cell>
          <cell r="AB45">
            <v>15.2</v>
          </cell>
          <cell r="AC45">
            <v>15</v>
          </cell>
          <cell r="AD45">
            <v>15</v>
          </cell>
          <cell r="AE45">
            <v>14.875</v>
          </cell>
          <cell r="AF45">
            <v>15</v>
          </cell>
          <cell r="AG45">
            <v>15</v>
          </cell>
          <cell r="AH45">
            <v>15</v>
          </cell>
          <cell r="AI45">
            <v>14.916666666666668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5122614</v>
          </cell>
          <cell r="F51">
            <v>9569735</v>
          </cell>
          <cell r="G51">
            <v>14495727</v>
          </cell>
          <cell r="H51">
            <v>17318834</v>
          </cell>
          <cell r="I51">
            <v>21205298</v>
          </cell>
          <cell r="J51">
            <v>25030341</v>
          </cell>
          <cell r="K51">
            <v>28934555</v>
          </cell>
          <cell r="L51">
            <v>32945293</v>
          </cell>
          <cell r="M51">
            <v>37036473</v>
          </cell>
          <cell r="N51">
            <v>41122212</v>
          </cell>
          <cell r="O51">
            <v>45003112</v>
          </cell>
          <cell r="P51">
            <v>50296416</v>
          </cell>
          <cell r="T51">
            <v>48</v>
          </cell>
          <cell r="U51" t="str">
            <v>Transportation firm</v>
          </cell>
          <cell r="W51"/>
          <cell r="X51">
            <v>5120571</v>
          </cell>
          <cell r="Y51">
            <v>10019469</v>
          </cell>
          <cell r="Z51">
            <v>14449677</v>
          </cell>
          <cell r="AA51">
            <v>18682674</v>
          </cell>
          <cell r="AB51">
            <v>22280161</v>
          </cell>
          <cell r="AC51">
            <v>25885443</v>
          </cell>
          <cell r="AD51">
            <v>30223878</v>
          </cell>
          <cell r="AE51">
            <v>34537250</v>
          </cell>
          <cell r="AF51">
            <v>38456707</v>
          </cell>
          <cell r="AG51">
            <v>42762414</v>
          </cell>
          <cell r="AH51">
            <v>46301973</v>
          </cell>
          <cell r="AI51">
            <v>51185112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142031</v>
          </cell>
          <cell r="F52">
            <v>208478</v>
          </cell>
          <cell r="G52">
            <v>233515</v>
          </cell>
          <cell r="H52">
            <v>259556</v>
          </cell>
          <cell r="I52">
            <v>332108</v>
          </cell>
          <cell r="J52">
            <v>413370</v>
          </cell>
          <cell r="K52">
            <v>504217</v>
          </cell>
          <cell r="L52">
            <v>641128</v>
          </cell>
          <cell r="M52">
            <v>1106129</v>
          </cell>
          <cell r="N52">
            <v>1202694</v>
          </cell>
          <cell r="O52">
            <v>1252417</v>
          </cell>
          <cell r="P52">
            <v>1344320</v>
          </cell>
          <cell r="T52">
            <v>49</v>
          </cell>
          <cell r="U52" t="str">
            <v>Interruptible transporation</v>
          </cell>
          <cell r="W52"/>
          <cell r="X52">
            <v>158171</v>
          </cell>
          <cell r="Y52">
            <v>277308</v>
          </cell>
          <cell r="Z52">
            <v>454270</v>
          </cell>
          <cell r="AA52">
            <v>536093</v>
          </cell>
          <cell r="AB52">
            <v>628041</v>
          </cell>
          <cell r="AC52">
            <v>726154</v>
          </cell>
          <cell r="AD52">
            <v>1099549</v>
          </cell>
          <cell r="AE52">
            <v>1430396</v>
          </cell>
          <cell r="AF52">
            <v>1689943</v>
          </cell>
          <cell r="AG52">
            <v>1803364</v>
          </cell>
          <cell r="AH52">
            <v>1851583</v>
          </cell>
          <cell r="AI52">
            <v>1896731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-1569792</v>
          </cell>
          <cell r="F53">
            <v>-2775692</v>
          </cell>
          <cell r="G53">
            <v>-4167090</v>
          </cell>
          <cell r="H53">
            <v>-4887552</v>
          </cell>
          <cell r="I53">
            <v>-5549998</v>
          </cell>
          <cell r="J53">
            <v>-6104611</v>
          </cell>
          <cell r="K53">
            <v>-6621478</v>
          </cell>
          <cell r="L53">
            <v>-7201595</v>
          </cell>
          <cell r="M53">
            <v>-7814166</v>
          </cell>
          <cell r="N53">
            <v>-8535444</v>
          </cell>
          <cell r="O53">
            <v>-9664030</v>
          </cell>
          <cell r="P53">
            <v>-11373352</v>
          </cell>
          <cell r="T53">
            <v>50</v>
          </cell>
          <cell r="U53" t="str">
            <v>Less: ESNG to DE, MD &amp; SP</v>
          </cell>
          <cell r="W53"/>
          <cell r="X53">
            <v>-1696097</v>
          </cell>
          <cell r="Y53">
            <v>-3165306</v>
          </cell>
          <cell r="Z53">
            <v>-4465216</v>
          </cell>
          <cell r="AA53">
            <v>-5338871</v>
          </cell>
          <cell r="AB53">
            <v>-6021529</v>
          </cell>
          <cell r="AC53">
            <v>-6572262</v>
          </cell>
          <cell r="AD53">
            <v>-7084207</v>
          </cell>
          <cell r="AE53">
            <v>-7629685</v>
          </cell>
          <cell r="AF53">
            <v>-8201824</v>
          </cell>
          <cell r="AG53">
            <v>-8963698</v>
          </cell>
          <cell r="AH53">
            <v>-9975271</v>
          </cell>
          <cell r="AI53">
            <v>-11490210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3694853</v>
          </cell>
          <cell r="F54">
            <v>7002521</v>
          </cell>
          <cell r="G54">
            <v>10562152</v>
          </cell>
          <cell r="H54">
            <v>12690838</v>
          </cell>
          <cell r="I54">
            <v>15987408</v>
          </cell>
          <cell r="J54">
            <v>19339100</v>
          </cell>
          <cell r="K54">
            <v>22817294</v>
          </cell>
          <cell r="L54">
            <v>26384826</v>
          </cell>
          <cell r="M54">
            <v>30328436</v>
          </cell>
          <cell r="N54">
            <v>33789462</v>
          </cell>
          <cell r="O54">
            <v>36591499</v>
          </cell>
          <cell r="P54">
            <v>40267384</v>
          </cell>
          <cell r="T54">
            <v>51</v>
          </cell>
          <cell r="U54" t="str">
            <v>Total Deliveries</v>
          </cell>
          <cell r="V54"/>
          <cell r="W54"/>
          <cell r="X54">
            <v>3582645</v>
          </cell>
          <cell r="Y54">
            <v>7131471</v>
          </cell>
          <cell r="Z54">
            <v>10438731</v>
          </cell>
          <cell r="AA54">
            <v>13879896</v>
          </cell>
          <cell r="AB54">
            <v>16886673</v>
          </cell>
          <cell r="AC54">
            <v>20039335</v>
          </cell>
          <cell r="AD54">
            <v>24239220</v>
          </cell>
          <cell r="AE54">
            <v>28337961</v>
          </cell>
          <cell r="AF54">
            <v>31944826</v>
          </cell>
          <cell r="AG54">
            <v>35602080</v>
          </cell>
          <cell r="AH54">
            <v>38178285</v>
          </cell>
          <cell r="AI54">
            <v>41591633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5380128</v>
          </cell>
          <cell r="F58">
            <v>10044758</v>
          </cell>
          <cell r="G58">
            <v>15207641</v>
          </cell>
          <cell r="H58">
            <v>18160357</v>
          </cell>
          <cell r="I58">
            <v>22220001.835840002</v>
          </cell>
          <cell r="J58">
            <v>26226581.376620002</v>
          </cell>
          <cell r="K58">
            <v>30319095.617840003</v>
          </cell>
          <cell r="L58">
            <v>34505744.586520001</v>
          </cell>
          <cell r="M58">
            <v>38789087.311120003</v>
          </cell>
          <cell r="N58">
            <v>43075599.525580004</v>
          </cell>
          <cell r="O58">
            <v>47148060.749580003</v>
          </cell>
          <cell r="P58">
            <v>52710105.79366</v>
          </cell>
          <cell r="T58">
            <v>55</v>
          </cell>
          <cell r="U58" t="str">
            <v>Transportation firm</v>
          </cell>
          <cell r="W58"/>
          <cell r="X58">
            <v>5425808.2373099998</v>
          </cell>
          <cell r="Y58">
            <v>10605021.18087</v>
          </cell>
          <cell r="Z58">
            <v>15274637.62119</v>
          </cell>
          <cell r="AA58">
            <v>19744428.473370001</v>
          </cell>
          <cell r="AB58">
            <v>23526214.732380003</v>
          </cell>
          <cell r="AC58">
            <v>27319259.818940002</v>
          </cell>
          <cell r="AD58">
            <v>31903467.161690004</v>
          </cell>
          <cell r="AE58">
            <v>36456619.511170007</v>
          </cell>
          <cell r="AF58">
            <v>40588589.469710007</v>
          </cell>
          <cell r="AG58">
            <v>45120905.82912001</v>
          </cell>
          <cell r="AH58">
            <v>48845442.18246001</v>
          </cell>
          <cell r="AI58">
            <v>53985141.305520013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149171</v>
          </cell>
          <cell r="F59">
            <v>218868</v>
          </cell>
          <cell r="G59">
            <v>245109</v>
          </cell>
          <cell r="H59">
            <v>272346</v>
          </cell>
          <cell r="I59">
            <v>348130.91712</v>
          </cell>
          <cell r="J59">
            <v>433249.61164000002</v>
          </cell>
          <cell r="K59">
            <v>528478.16245000006</v>
          </cell>
          <cell r="L59">
            <v>671394.07891000004</v>
          </cell>
          <cell r="M59">
            <v>1158236.17588</v>
          </cell>
          <cell r="N59">
            <v>1259546.37998</v>
          </cell>
          <cell r="O59">
            <v>1311723.7072600001</v>
          </cell>
          <cell r="P59">
            <v>1408292.6225700001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-1648705</v>
          </cell>
          <cell r="F60">
            <v>-2913586</v>
          </cell>
          <cell r="G60">
            <v>-4371896</v>
          </cell>
          <cell r="H60">
            <v>-5125434</v>
          </cell>
          <cell r="I60">
            <v>-5817398.5937599996</v>
          </cell>
          <cell r="J60">
            <v>-6398333.5267399997</v>
          </cell>
          <cell r="K60">
            <v>-6940129.0221499996</v>
          </cell>
          <cell r="L60">
            <v>-7545689.9537699996</v>
          </cell>
          <cell r="M60">
            <v>-8187033.4136399999</v>
          </cell>
          <cell r="N60">
            <v>-8943755.0145599991</v>
          </cell>
          <cell r="O60">
            <v>-10128048.01952</v>
          </cell>
          <cell r="P60">
            <v>-11924152.297459999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3880594</v>
          </cell>
          <cell r="F61">
            <v>7350040</v>
          </cell>
          <cell r="G61">
            <v>11080854</v>
          </cell>
          <cell r="H61">
            <v>13307269</v>
          </cell>
          <cell r="I61">
            <v>16750734.159200002</v>
          </cell>
          <cell r="J61">
            <v>20261497.461520001</v>
          </cell>
          <cell r="K61">
            <v>23907444.758140005</v>
          </cell>
          <cell r="L61">
            <v>27631448.711660001</v>
          </cell>
          <cell r="M61">
            <v>31760290.073360004</v>
          </cell>
          <cell r="N61">
            <v>35391390.891000003</v>
          </cell>
          <cell r="O61">
            <v>38331736.437320001</v>
          </cell>
          <cell r="P61">
            <v>42194246.118770003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4690933</v>
          </cell>
          <cell r="F66">
            <v>8719807</v>
          </cell>
          <cell r="G66">
            <v>12450270</v>
          </cell>
          <cell r="H66">
            <v>15423121</v>
          </cell>
          <cell r="I66">
            <v>18158529</v>
          </cell>
          <cell r="J66">
            <v>20286811</v>
          </cell>
          <cell r="K66">
            <v>22485563</v>
          </cell>
          <cell r="L66">
            <v>24756904</v>
          </cell>
          <cell r="M66">
            <v>26981112</v>
          </cell>
          <cell r="N66">
            <v>29474833</v>
          </cell>
          <cell r="O66">
            <v>32728465</v>
          </cell>
          <cell r="P66">
            <v>36395147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-1708461</v>
          </cell>
          <cell r="F67">
            <v>-3143391</v>
          </cell>
          <cell r="G67">
            <v>-4212477</v>
          </cell>
          <cell r="H67">
            <v>-5102396</v>
          </cell>
          <cell r="I67">
            <v>-5793952</v>
          </cell>
          <cell r="J67">
            <v>-6308003</v>
          </cell>
          <cell r="K67">
            <v>-6788802</v>
          </cell>
          <cell r="L67">
            <v>-7300894</v>
          </cell>
          <cell r="M67">
            <v>-7857635</v>
          </cell>
          <cell r="N67">
            <v>-8593091</v>
          </cell>
          <cell r="O67">
            <v>-9496968</v>
          </cell>
          <cell r="P67">
            <v>-10598033</v>
          </cell>
        </row>
        <row r="68">
          <cell r="A68">
            <v>65</v>
          </cell>
          <cell r="D68"/>
          <cell r="E68">
            <v>2982472</v>
          </cell>
          <cell r="F68">
            <v>5576416</v>
          </cell>
          <cell r="G68">
            <v>8237793</v>
          </cell>
          <cell r="H68">
            <v>10320725</v>
          </cell>
          <cell r="I68">
            <v>12364577</v>
          </cell>
          <cell r="J68">
            <v>13978808</v>
          </cell>
          <cell r="K68">
            <v>15696761</v>
          </cell>
          <cell r="L68">
            <v>17456010</v>
          </cell>
          <cell r="M68">
            <v>19123477</v>
          </cell>
          <cell r="N68">
            <v>20881742</v>
          </cell>
          <cell r="O68">
            <v>23231497</v>
          </cell>
          <cell r="P68">
            <v>25797114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4855115.6549999993</v>
          </cell>
          <cell r="F70">
            <v>9025000.2449999992</v>
          </cell>
          <cell r="G70">
            <v>12886029.449999999</v>
          </cell>
          <cell r="H70">
            <v>15962930.234999999</v>
          </cell>
          <cell r="I70">
            <v>18794077.515000001</v>
          </cell>
          <cell r="J70">
            <v>20996849.385000002</v>
          </cell>
          <cell r="K70">
            <v>23272557.705000002</v>
          </cell>
          <cell r="L70">
            <v>25623395.640000001</v>
          </cell>
          <cell r="M70">
            <v>27925450.920000002</v>
          </cell>
          <cell r="N70">
            <v>30506452.155000001</v>
          </cell>
          <cell r="O70">
            <v>33873961.274999999</v>
          </cell>
          <cell r="P70">
            <v>37668977.144999996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-1768257.1349999998</v>
          </cell>
          <cell r="F71">
            <v>-3253409.6849999996</v>
          </cell>
          <cell r="G71">
            <v>-4359913.6949999994</v>
          </cell>
          <cell r="H71">
            <v>-5280979.8599999994</v>
          </cell>
          <cell r="I71">
            <v>-5996740.3199999994</v>
          </cell>
          <cell r="J71">
            <v>-6528783.1049999995</v>
          </cell>
          <cell r="K71">
            <v>-7026410.0699999994</v>
          </cell>
          <cell r="L71">
            <v>-7556425.2899999991</v>
          </cell>
          <cell r="M71">
            <v>-8132652.2249999987</v>
          </cell>
          <cell r="N71">
            <v>-8893849.1849999987</v>
          </cell>
          <cell r="O71">
            <v>-9829361.879999999</v>
          </cell>
          <cell r="P71">
            <v>-10968964.154999999</v>
          </cell>
        </row>
        <row r="72">
          <cell r="D72"/>
          <cell r="E72">
            <v>3086858.5199999996</v>
          </cell>
          <cell r="F72">
            <v>5771590.5599999996</v>
          </cell>
          <cell r="G72">
            <v>8526115.754999999</v>
          </cell>
          <cell r="H72">
            <v>10681950.375</v>
          </cell>
          <cell r="I72">
            <v>12797337.195</v>
          </cell>
          <cell r="J72">
            <v>14468066.280000001</v>
          </cell>
          <cell r="K72">
            <v>16246147.635000002</v>
          </cell>
          <cell r="L72">
            <v>18066970.350000001</v>
          </cell>
          <cell r="M72">
            <v>19792798.695000004</v>
          </cell>
          <cell r="N72">
            <v>21612602.970000003</v>
          </cell>
          <cell r="O72">
            <v>24044599.395</v>
          </cell>
          <cell r="P72">
            <v>26700012.989999995</v>
          </cell>
        </row>
      </sheetData>
      <sheetData sheetId="15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9528</v>
          </cell>
          <cell r="E5">
            <v>9578</v>
          </cell>
          <cell r="F5">
            <v>9579</v>
          </cell>
          <cell r="G5">
            <v>9546</v>
          </cell>
          <cell r="H5">
            <v>9532</v>
          </cell>
          <cell r="I5">
            <v>9502</v>
          </cell>
          <cell r="J5">
            <v>9481</v>
          </cell>
          <cell r="K5">
            <v>9487</v>
          </cell>
          <cell r="L5">
            <v>9492</v>
          </cell>
          <cell r="M5">
            <v>9503</v>
          </cell>
          <cell r="N5">
            <v>9500</v>
          </cell>
          <cell r="O5">
            <v>9538</v>
          </cell>
          <cell r="P5">
            <v>9599</v>
          </cell>
          <cell r="T5">
            <v>2</v>
          </cell>
          <cell r="U5" t="str">
            <v>Residential</v>
          </cell>
          <cell r="V5">
            <v>9535</v>
          </cell>
          <cell r="W5">
            <v>114423</v>
          </cell>
          <cell r="X5">
            <v>9586</v>
          </cell>
          <cell r="Y5">
            <v>9582</v>
          </cell>
          <cell r="Z5">
            <v>9569</v>
          </cell>
          <cell r="AA5">
            <v>9540</v>
          </cell>
          <cell r="AB5">
            <v>9521</v>
          </cell>
          <cell r="AC5">
            <v>9526</v>
          </cell>
          <cell r="AD5">
            <v>9525</v>
          </cell>
          <cell r="AE5">
            <v>9507</v>
          </cell>
          <cell r="AF5">
            <v>9488</v>
          </cell>
          <cell r="AG5">
            <v>9495</v>
          </cell>
          <cell r="AH5">
            <v>9522</v>
          </cell>
          <cell r="AI5">
            <v>9562</v>
          </cell>
        </row>
        <row r="6">
          <cell r="A6">
            <v>3</v>
          </cell>
          <cell r="B6" t="str">
            <v>Commercial</v>
          </cell>
          <cell r="C6"/>
          <cell r="D6">
            <v>1059</v>
          </cell>
          <cell r="E6">
            <v>1039</v>
          </cell>
          <cell r="F6">
            <v>1037</v>
          </cell>
          <cell r="G6">
            <v>1029</v>
          </cell>
          <cell r="H6">
            <v>1036</v>
          </cell>
          <cell r="I6">
            <v>1060</v>
          </cell>
          <cell r="J6">
            <v>1087</v>
          </cell>
          <cell r="K6">
            <v>1086</v>
          </cell>
          <cell r="L6">
            <v>1086</v>
          </cell>
          <cell r="M6">
            <v>1087</v>
          </cell>
          <cell r="N6">
            <v>1076</v>
          </cell>
          <cell r="O6">
            <v>1046</v>
          </cell>
          <cell r="P6">
            <v>1038</v>
          </cell>
          <cell r="T6">
            <v>3</v>
          </cell>
          <cell r="U6" t="str">
            <v>Commercial</v>
          </cell>
          <cell r="V6">
            <v>1062</v>
          </cell>
          <cell r="W6">
            <v>12741</v>
          </cell>
          <cell r="X6">
            <v>1038</v>
          </cell>
          <cell r="Y6">
            <v>1040</v>
          </cell>
          <cell r="Z6">
            <v>1036</v>
          </cell>
          <cell r="AA6">
            <v>1049</v>
          </cell>
          <cell r="AB6">
            <v>1067</v>
          </cell>
          <cell r="AC6">
            <v>1085</v>
          </cell>
          <cell r="AD6">
            <v>1087</v>
          </cell>
          <cell r="AE6">
            <v>1089</v>
          </cell>
          <cell r="AF6">
            <v>1092</v>
          </cell>
          <cell r="AG6">
            <v>1081</v>
          </cell>
          <cell r="AH6">
            <v>1048</v>
          </cell>
          <cell r="AI6">
            <v>1029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18</v>
          </cell>
          <cell r="E7">
            <v>10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18</v>
          </cell>
          <cell r="L7">
            <v>18</v>
          </cell>
          <cell r="M7">
            <v>19</v>
          </cell>
          <cell r="N7">
            <v>20</v>
          </cell>
          <cell r="O7">
            <v>20</v>
          </cell>
          <cell r="P7">
            <v>21</v>
          </cell>
          <cell r="T7">
            <v>4</v>
          </cell>
          <cell r="U7" t="str">
            <v xml:space="preserve">Industrial </v>
          </cell>
          <cell r="V7">
            <v>5</v>
          </cell>
          <cell r="W7">
            <v>59</v>
          </cell>
          <cell r="X7">
            <v>4</v>
          </cell>
          <cell r="Y7">
            <v>4</v>
          </cell>
          <cell r="Z7">
            <v>4</v>
          </cell>
          <cell r="AA7">
            <v>4</v>
          </cell>
          <cell r="AB7">
            <v>4</v>
          </cell>
          <cell r="AC7">
            <v>4</v>
          </cell>
          <cell r="AD7">
            <v>4</v>
          </cell>
          <cell r="AE7">
            <v>5</v>
          </cell>
          <cell r="AF7">
            <v>5</v>
          </cell>
          <cell r="AG7">
            <v>5</v>
          </cell>
          <cell r="AH7">
            <v>5</v>
          </cell>
          <cell r="AI7">
            <v>11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10605</v>
          </cell>
          <cell r="E9">
            <v>10627</v>
          </cell>
          <cell r="F9">
            <v>10633</v>
          </cell>
          <cell r="G9">
            <v>10592</v>
          </cell>
          <cell r="H9">
            <v>10585</v>
          </cell>
          <cell r="I9">
            <v>10579</v>
          </cell>
          <cell r="J9">
            <v>10585</v>
          </cell>
          <cell r="K9">
            <v>10591</v>
          </cell>
          <cell r="L9">
            <v>10596</v>
          </cell>
          <cell r="M9">
            <v>10609</v>
          </cell>
          <cell r="N9">
            <v>10596</v>
          </cell>
          <cell r="O9">
            <v>10604</v>
          </cell>
          <cell r="P9">
            <v>10658</v>
          </cell>
          <cell r="T9">
            <v>6</v>
          </cell>
          <cell r="U9" t="str">
            <v>Total customers</v>
          </cell>
          <cell r="V9">
            <v>10602</v>
          </cell>
          <cell r="W9">
            <v>127223</v>
          </cell>
          <cell r="X9">
            <v>10628</v>
          </cell>
          <cell r="Y9">
            <v>10626</v>
          </cell>
          <cell r="Z9">
            <v>10609</v>
          </cell>
          <cell r="AA9">
            <v>10593</v>
          </cell>
          <cell r="AB9">
            <v>10592</v>
          </cell>
          <cell r="AC9">
            <v>10615</v>
          </cell>
          <cell r="AD9">
            <v>10616</v>
          </cell>
          <cell r="AE9">
            <v>10601</v>
          </cell>
          <cell r="AF9">
            <v>10585</v>
          </cell>
          <cell r="AG9">
            <v>10581</v>
          </cell>
          <cell r="AH9">
            <v>10575</v>
          </cell>
          <cell r="AI9">
            <v>10602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220407</v>
          </cell>
          <cell r="E12">
            <v>42585</v>
          </cell>
          <cell r="F12">
            <v>38389</v>
          </cell>
          <cell r="G12">
            <v>31615</v>
          </cell>
          <cell r="H12">
            <v>23154</v>
          </cell>
          <cell r="I12">
            <v>8596</v>
          </cell>
          <cell r="J12">
            <v>6909</v>
          </cell>
          <cell r="K12">
            <v>6116</v>
          </cell>
          <cell r="L12">
            <v>5621</v>
          </cell>
          <cell r="M12">
            <v>5931</v>
          </cell>
          <cell r="N12">
            <v>5747</v>
          </cell>
          <cell r="O12">
            <v>14794</v>
          </cell>
          <cell r="P12">
            <v>30950</v>
          </cell>
          <cell r="T12">
            <v>9</v>
          </cell>
          <cell r="U12" t="str">
            <v>Residential</v>
          </cell>
          <cell r="W12">
            <v>223336</v>
          </cell>
          <cell r="X12">
            <v>33977</v>
          </cell>
          <cell r="Y12">
            <v>45833</v>
          </cell>
          <cell r="Z12">
            <v>33310</v>
          </cell>
          <cell r="AA12">
            <v>20813</v>
          </cell>
          <cell r="AB12">
            <v>13245</v>
          </cell>
          <cell r="AC12">
            <v>7321</v>
          </cell>
          <cell r="AD12">
            <v>6399</v>
          </cell>
          <cell r="AE12">
            <v>5557</v>
          </cell>
          <cell r="AF12">
            <v>5223</v>
          </cell>
          <cell r="AG12">
            <v>6004</v>
          </cell>
          <cell r="AH12">
            <v>13619</v>
          </cell>
          <cell r="AI12">
            <v>32035</v>
          </cell>
        </row>
        <row r="13">
          <cell r="A13">
            <v>10</v>
          </cell>
          <cell r="B13" t="str">
            <v>Commercial</v>
          </cell>
          <cell r="D13">
            <v>333243</v>
          </cell>
          <cell r="E13">
            <v>30879</v>
          </cell>
          <cell r="F13">
            <v>30546</v>
          </cell>
          <cell r="G13">
            <v>28334</v>
          </cell>
          <cell r="H13">
            <v>28615</v>
          </cell>
          <cell r="I13">
            <v>20980</v>
          </cell>
          <cell r="J13">
            <v>27622</v>
          </cell>
          <cell r="K13">
            <v>33066</v>
          </cell>
          <cell r="L13">
            <v>31962</v>
          </cell>
          <cell r="M13">
            <v>31487</v>
          </cell>
          <cell r="N13">
            <v>23615</v>
          </cell>
          <cell r="O13">
            <v>20854</v>
          </cell>
          <cell r="P13">
            <v>25283</v>
          </cell>
          <cell r="T13">
            <v>10</v>
          </cell>
          <cell r="U13" t="str">
            <v>Commercial</v>
          </cell>
          <cell r="W13">
            <v>419965</v>
          </cell>
          <cell r="X13">
            <v>33991</v>
          </cell>
          <cell r="Y13">
            <v>40227</v>
          </cell>
          <cell r="Z13">
            <v>40760</v>
          </cell>
          <cell r="AA13">
            <v>34365</v>
          </cell>
          <cell r="AB13">
            <v>30403</v>
          </cell>
          <cell r="AC13">
            <v>32496</v>
          </cell>
          <cell r="AD13">
            <v>39159</v>
          </cell>
          <cell r="AE13">
            <v>39543</v>
          </cell>
          <cell r="AF13">
            <v>39138</v>
          </cell>
          <cell r="AG13">
            <v>33889</v>
          </cell>
          <cell r="AH13">
            <v>28649</v>
          </cell>
          <cell r="AI13">
            <v>27345</v>
          </cell>
        </row>
        <row r="14">
          <cell r="A14">
            <v>11</v>
          </cell>
          <cell r="B14" t="str">
            <v xml:space="preserve">Industrial </v>
          </cell>
          <cell r="D14">
            <v>208693</v>
          </cell>
          <cell r="E14">
            <v>14695</v>
          </cell>
          <cell r="F14">
            <v>13551</v>
          </cell>
          <cell r="G14">
            <v>16784</v>
          </cell>
          <cell r="H14">
            <v>16178</v>
          </cell>
          <cell r="I14">
            <v>20580</v>
          </cell>
          <cell r="J14">
            <v>16890</v>
          </cell>
          <cell r="K14">
            <v>15683</v>
          </cell>
          <cell r="L14">
            <v>15572</v>
          </cell>
          <cell r="M14">
            <v>18843</v>
          </cell>
          <cell r="N14">
            <v>19672</v>
          </cell>
          <cell r="O14">
            <v>20205</v>
          </cell>
          <cell r="P14">
            <v>20040</v>
          </cell>
          <cell r="T14">
            <v>11</v>
          </cell>
          <cell r="U14" t="str">
            <v xml:space="preserve">Industrial </v>
          </cell>
          <cell r="W14">
            <v>96196</v>
          </cell>
          <cell r="X14">
            <v>7875</v>
          </cell>
          <cell r="Y14">
            <v>5524</v>
          </cell>
          <cell r="Z14">
            <v>4044</v>
          </cell>
          <cell r="AA14">
            <v>5796</v>
          </cell>
          <cell r="AB14">
            <v>8663</v>
          </cell>
          <cell r="AC14">
            <v>8779</v>
          </cell>
          <cell r="AD14">
            <v>5484</v>
          </cell>
          <cell r="AE14">
            <v>5321</v>
          </cell>
          <cell r="AF14">
            <v>10258</v>
          </cell>
          <cell r="AG14">
            <v>10976</v>
          </cell>
          <cell r="AH14">
            <v>5231</v>
          </cell>
          <cell r="AI14">
            <v>18245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762343</v>
          </cell>
          <cell r="E16">
            <v>88159</v>
          </cell>
          <cell r="F16">
            <v>82486</v>
          </cell>
          <cell r="G16">
            <v>76733</v>
          </cell>
          <cell r="H16">
            <v>67947</v>
          </cell>
          <cell r="I16">
            <v>50156</v>
          </cell>
          <cell r="J16">
            <v>51421</v>
          </cell>
          <cell r="K16">
            <v>54865</v>
          </cell>
          <cell r="L16">
            <v>53155</v>
          </cell>
          <cell r="M16">
            <v>56261</v>
          </cell>
          <cell r="N16">
            <v>49034</v>
          </cell>
          <cell r="O16">
            <v>55853</v>
          </cell>
          <cell r="P16">
            <v>76273</v>
          </cell>
          <cell r="T16">
            <v>13</v>
          </cell>
          <cell r="U16" t="str">
            <v>Total Deliveries</v>
          </cell>
          <cell r="V16"/>
          <cell r="W16">
            <v>739497</v>
          </cell>
          <cell r="X16">
            <v>75843</v>
          </cell>
          <cell r="Y16">
            <v>91584</v>
          </cell>
          <cell r="Z16">
            <v>78114</v>
          </cell>
          <cell r="AA16">
            <v>60974</v>
          </cell>
          <cell r="AB16">
            <v>52311</v>
          </cell>
          <cell r="AC16">
            <v>48596</v>
          </cell>
          <cell r="AD16">
            <v>51042</v>
          </cell>
          <cell r="AE16">
            <v>50421</v>
          </cell>
          <cell r="AF16">
            <v>54619</v>
          </cell>
          <cell r="AG16">
            <v>50869</v>
          </cell>
          <cell r="AH16">
            <v>47499</v>
          </cell>
          <cell r="AI16">
            <v>77625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231124</v>
          </cell>
          <cell r="E21">
            <v>44726</v>
          </cell>
          <cell r="F21">
            <v>40267</v>
          </cell>
          <cell r="G21">
            <v>33135</v>
          </cell>
          <cell r="H21">
            <v>24217</v>
          </cell>
          <cell r="I21">
            <v>8979</v>
          </cell>
          <cell r="J21">
            <v>7237</v>
          </cell>
          <cell r="K21">
            <v>6411</v>
          </cell>
          <cell r="L21">
            <v>5868</v>
          </cell>
          <cell r="M21">
            <v>6210</v>
          </cell>
          <cell r="N21">
            <v>6029</v>
          </cell>
          <cell r="O21">
            <v>15524</v>
          </cell>
          <cell r="P21">
            <v>32521</v>
          </cell>
          <cell r="T21">
            <v>18</v>
          </cell>
          <cell r="U21" t="str">
            <v>Residential</v>
          </cell>
          <cell r="W21">
            <v>235674</v>
          </cell>
          <cell r="X21">
            <v>36002</v>
          </cell>
          <cell r="Y21">
            <v>48456</v>
          </cell>
          <cell r="Z21">
            <v>35110</v>
          </cell>
          <cell r="AA21">
            <v>21977</v>
          </cell>
          <cell r="AB21">
            <v>13924</v>
          </cell>
          <cell r="AC21">
            <v>7702</v>
          </cell>
          <cell r="AD21">
            <v>6762</v>
          </cell>
          <cell r="AE21">
            <v>5866</v>
          </cell>
          <cell r="AF21">
            <v>5506</v>
          </cell>
          <cell r="AG21">
            <v>6320</v>
          </cell>
          <cell r="AH21">
            <v>14331</v>
          </cell>
          <cell r="AI21">
            <v>33718</v>
          </cell>
        </row>
        <row r="22">
          <cell r="A22">
            <v>19</v>
          </cell>
          <cell r="B22" t="str">
            <v>Commercial</v>
          </cell>
          <cell r="D22">
            <v>349161</v>
          </cell>
          <cell r="E22">
            <v>32431</v>
          </cell>
          <cell r="F22">
            <v>32040</v>
          </cell>
          <cell r="G22">
            <v>29697</v>
          </cell>
          <cell r="H22">
            <v>29929</v>
          </cell>
          <cell r="I22">
            <v>21915</v>
          </cell>
          <cell r="J22">
            <v>28933</v>
          </cell>
          <cell r="K22">
            <v>34661</v>
          </cell>
          <cell r="L22">
            <v>33364</v>
          </cell>
          <cell r="M22">
            <v>32966</v>
          </cell>
          <cell r="N22">
            <v>24775</v>
          </cell>
          <cell r="O22">
            <v>21883</v>
          </cell>
          <cell r="P22">
            <v>26567</v>
          </cell>
          <cell r="T22">
            <v>19</v>
          </cell>
          <cell r="U22" t="str">
            <v>Commercial</v>
          </cell>
          <cell r="W22">
            <v>442924</v>
          </cell>
          <cell r="X22">
            <v>36017</v>
          </cell>
          <cell r="Y22">
            <v>42529</v>
          </cell>
          <cell r="Z22">
            <v>42963</v>
          </cell>
          <cell r="AA22">
            <v>36287</v>
          </cell>
          <cell r="AB22">
            <v>31961</v>
          </cell>
          <cell r="AC22">
            <v>34188</v>
          </cell>
          <cell r="AD22">
            <v>41377</v>
          </cell>
          <cell r="AE22">
            <v>41741</v>
          </cell>
          <cell r="AF22">
            <v>41260</v>
          </cell>
          <cell r="AG22">
            <v>35673</v>
          </cell>
          <cell r="AH22">
            <v>30146</v>
          </cell>
          <cell r="AI22">
            <v>28782</v>
          </cell>
        </row>
        <row r="23">
          <cell r="A23">
            <v>20</v>
          </cell>
          <cell r="B23" t="str">
            <v xml:space="preserve">Industrial </v>
          </cell>
          <cell r="D23">
            <v>218669</v>
          </cell>
          <cell r="E23">
            <v>15434</v>
          </cell>
          <cell r="F23">
            <v>14214</v>
          </cell>
          <cell r="G23">
            <v>17591</v>
          </cell>
          <cell r="H23">
            <v>16921</v>
          </cell>
          <cell r="I23">
            <v>21497</v>
          </cell>
          <cell r="J23">
            <v>17692</v>
          </cell>
          <cell r="K23">
            <v>16439</v>
          </cell>
          <cell r="L23">
            <v>16255</v>
          </cell>
          <cell r="M23">
            <v>19728</v>
          </cell>
          <cell r="N23">
            <v>20639</v>
          </cell>
          <cell r="O23">
            <v>21202</v>
          </cell>
          <cell r="P23">
            <v>21057</v>
          </cell>
          <cell r="T23">
            <v>20</v>
          </cell>
          <cell r="U23" t="str">
            <v xml:space="preserve">Industrial </v>
          </cell>
          <cell r="W23">
            <v>101398</v>
          </cell>
          <cell r="X23">
            <v>8344</v>
          </cell>
          <cell r="Y23">
            <v>5840</v>
          </cell>
          <cell r="Z23">
            <v>4263</v>
          </cell>
          <cell r="AA23">
            <v>6120</v>
          </cell>
          <cell r="AB23">
            <v>9107</v>
          </cell>
          <cell r="AC23">
            <v>9236</v>
          </cell>
          <cell r="AD23">
            <v>5795</v>
          </cell>
          <cell r="AE23">
            <v>5617</v>
          </cell>
          <cell r="AF23">
            <v>10814</v>
          </cell>
          <cell r="AG23">
            <v>11554</v>
          </cell>
          <cell r="AH23">
            <v>5504</v>
          </cell>
          <cell r="AI23">
            <v>19204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798954</v>
          </cell>
          <cell r="E25">
            <v>92591</v>
          </cell>
          <cell r="F25">
            <v>86521</v>
          </cell>
          <cell r="G25">
            <v>80423</v>
          </cell>
          <cell r="H25">
            <v>71067</v>
          </cell>
          <cell r="I25">
            <v>52391</v>
          </cell>
          <cell r="J25">
            <v>53862</v>
          </cell>
          <cell r="K25">
            <v>57511</v>
          </cell>
          <cell r="L25">
            <v>55487</v>
          </cell>
          <cell r="M25">
            <v>58904</v>
          </cell>
          <cell r="N25">
            <v>51443</v>
          </cell>
          <cell r="O25">
            <v>58609</v>
          </cell>
          <cell r="P25">
            <v>80145</v>
          </cell>
          <cell r="T25">
            <v>22</v>
          </cell>
          <cell r="U25" t="str">
            <v>Total Deliveries</v>
          </cell>
          <cell r="V25"/>
          <cell r="W25">
            <v>779996</v>
          </cell>
          <cell r="X25">
            <v>80363</v>
          </cell>
          <cell r="Y25">
            <v>96825</v>
          </cell>
          <cell r="Z25">
            <v>82336</v>
          </cell>
          <cell r="AA25">
            <v>64384</v>
          </cell>
          <cell r="AB25">
            <v>54992</v>
          </cell>
          <cell r="AC25">
            <v>51126</v>
          </cell>
          <cell r="AD25">
            <v>53934</v>
          </cell>
          <cell r="AE25">
            <v>53224</v>
          </cell>
          <cell r="AF25">
            <v>57580</v>
          </cell>
          <cell r="AG25">
            <v>53547</v>
          </cell>
          <cell r="AH25">
            <v>49981</v>
          </cell>
          <cell r="AI25">
            <v>81704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10635</v>
          </cell>
          <cell r="F28">
            <v>10646</v>
          </cell>
          <cell r="G28">
            <v>10639</v>
          </cell>
          <cell r="H28">
            <v>10634</v>
          </cell>
          <cell r="I28">
            <v>10645</v>
          </cell>
          <cell r="J28">
            <v>10766</v>
          </cell>
          <cell r="K28">
            <v>10753</v>
          </cell>
          <cell r="L28">
            <v>10771</v>
          </cell>
          <cell r="M28">
            <v>10774</v>
          </cell>
          <cell r="N28">
            <v>10784</v>
          </cell>
          <cell r="O28">
            <v>10733</v>
          </cell>
          <cell r="P28">
            <v>10746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92003</v>
          </cell>
          <cell r="F29">
            <v>96883</v>
          </cell>
          <cell r="G29">
            <v>91977</v>
          </cell>
          <cell r="H29">
            <v>65349</v>
          </cell>
          <cell r="I29">
            <v>54111</v>
          </cell>
          <cell r="J29">
            <v>50388</v>
          </cell>
          <cell r="K29">
            <v>55865</v>
          </cell>
          <cell r="L29">
            <v>61230</v>
          </cell>
          <cell r="M29">
            <v>57747</v>
          </cell>
          <cell r="N29">
            <v>48513</v>
          </cell>
          <cell r="O29">
            <v>52100</v>
          </cell>
          <cell r="P29">
            <v>75324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95223.104999999996</v>
          </cell>
          <cell r="F30">
            <v>100273.905</v>
          </cell>
          <cell r="G30">
            <v>95196.194999999992</v>
          </cell>
          <cell r="H30">
            <v>67636.214999999997</v>
          </cell>
          <cell r="I30">
            <v>56004.884999999995</v>
          </cell>
          <cell r="J30">
            <v>52151.579999999994</v>
          </cell>
          <cell r="K30">
            <v>57820.274999999994</v>
          </cell>
          <cell r="L30">
            <v>63373.049999999996</v>
          </cell>
          <cell r="M30">
            <v>59768.144999999997</v>
          </cell>
          <cell r="N30">
            <v>50210.954999999994</v>
          </cell>
          <cell r="O30">
            <v>53923.499999999993</v>
          </cell>
          <cell r="P30">
            <v>77960.34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9578</v>
          </cell>
          <cell r="F34">
            <v>9579</v>
          </cell>
          <cell r="G34">
            <v>9568</v>
          </cell>
          <cell r="H34">
            <v>9559</v>
          </cell>
          <cell r="I34">
            <v>9547</v>
          </cell>
          <cell r="J34">
            <v>9536</v>
          </cell>
          <cell r="K34">
            <v>9529</v>
          </cell>
          <cell r="L34">
            <v>9525</v>
          </cell>
          <cell r="M34">
            <v>9522</v>
          </cell>
          <cell r="N34">
            <v>9520</v>
          </cell>
          <cell r="O34">
            <v>9522</v>
          </cell>
          <cell r="P34">
            <v>9528</v>
          </cell>
          <cell r="T34">
            <v>31</v>
          </cell>
          <cell r="U34" t="str">
            <v>Residential</v>
          </cell>
          <cell r="V34"/>
          <cell r="W34"/>
          <cell r="X34">
            <v>9586</v>
          </cell>
          <cell r="Y34">
            <v>9584</v>
          </cell>
          <cell r="Z34">
            <v>9579</v>
          </cell>
          <cell r="AA34">
            <v>9569</v>
          </cell>
          <cell r="AB34">
            <v>9560</v>
          </cell>
          <cell r="AC34">
            <v>9554</v>
          </cell>
          <cell r="AD34">
            <v>9550</v>
          </cell>
          <cell r="AE34">
            <v>9545</v>
          </cell>
          <cell r="AF34">
            <v>9538</v>
          </cell>
          <cell r="AG34">
            <v>9534</v>
          </cell>
          <cell r="AH34">
            <v>9533</v>
          </cell>
          <cell r="AI34">
            <v>9535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1039</v>
          </cell>
          <cell r="F35">
            <v>1038</v>
          </cell>
          <cell r="G35">
            <v>1035</v>
          </cell>
          <cell r="H35">
            <v>1035</v>
          </cell>
          <cell r="I35">
            <v>1040</v>
          </cell>
          <cell r="J35">
            <v>1048</v>
          </cell>
          <cell r="K35">
            <v>1053</v>
          </cell>
          <cell r="L35">
            <v>1058</v>
          </cell>
          <cell r="M35">
            <v>1061</v>
          </cell>
          <cell r="N35">
            <v>1062</v>
          </cell>
          <cell r="O35">
            <v>1061</v>
          </cell>
          <cell r="P35">
            <v>1059</v>
          </cell>
          <cell r="T35">
            <v>32</v>
          </cell>
          <cell r="U35" t="str">
            <v>Commercial</v>
          </cell>
          <cell r="V35"/>
          <cell r="W35"/>
          <cell r="X35">
            <v>1038</v>
          </cell>
          <cell r="Y35">
            <v>1039</v>
          </cell>
          <cell r="Z35">
            <v>1038</v>
          </cell>
          <cell r="AA35">
            <v>1041</v>
          </cell>
          <cell r="AB35">
            <v>1046</v>
          </cell>
          <cell r="AC35">
            <v>1053</v>
          </cell>
          <cell r="AD35">
            <v>1057</v>
          </cell>
          <cell r="AE35">
            <v>1061</v>
          </cell>
          <cell r="AF35">
            <v>1065</v>
          </cell>
          <cell r="AG35">
            <v>1066</v>
          </cell>
          <cell r="AH35">
            <v>1065</v>
          </cell>
          <cell r="AI35">
            <v>1062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10</v>
          </cell>
          <cell r="F36">
            <v>14</v>
          </cell>
          <cell r="G36">
            <v>15</v>
          </cell>
          <cell r="H36">
            <v>15</v>
          </cell>
          <cell r="I36">
            <v>16</v>
          </cell>
          <cell r="J36">
            <v>16</v>
          </cell>
          <cell r="K36">
            <v>16</v>
          </cell>
          <cell r="L36">
            <v>16</v>
          </cell>
          <cell r="M36">
            <v>17</v>
          </cell>
          <cell r="N36">
            <v>17</v>
          </cell>
          <cell r="O36">
            <v>17</v>
          </cell>
          <cell r="P36">
            <v>18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4</v>
          </cell>
          <cell r="AI36">
            <v>5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10627</v>
          </cell>
          <cell r="F38">
            <v>10631</v>
          </cell>
          <cell r="G38">
            <v>10618</v>
          </cell>
          <cell r="H38">
            <v>10609</v>
          </cell>
          <cell r="I38">
            <v>10603</v>
          </cell>
          <cell r="J38">
            <v>10600</v>
          </cell>
          <cell r="K38">
            <v>10598</v>
          </cell>
          <cell r="L38">
            <v>10599</v>
          </cell>
          <cell r="M38">
            <v>10600</v>
          </cell>
          <cell r="N38">
            <v>10599</v>
          </cell>
          <cell r="O38">
            <v>10600</v>
          </cell>
          <cell r="P38">
            <v>10605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10628</v>
          </cell>
          <cell r="Y38">
            <v>10627</v>
          </cell>
          <cell r="Z38">
            <v>10621</v>
          </cell>
          <cell r="AA38">
            <v>10614</v>
          </cell>
          <cell r="AB38">
            <v>10610</v>
          </cell>
          <cell r="AC38">
            <v>10611</v>
          </cell>
          <cell r="AD38">
            <v>10611</v>
          </cell>
          <cell r="AE38">
            <v>10610</v>
          </cell>
          <cell r="AF38">
            <v>10607</v>
          </cell>
          <cell r="AG38">
            <v>10604</v>
          </cell>
          <cell r="AH38">
            <v>10602</v>
          </cell>
          <cell r="AI38">
            <v>10602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42585</v>
          </cell>
          <cell r="F41">
            <v>80974</v>
          </cell>
          <cell r="G41">
            <v>112589</v>
          </cell>
          <cell r="H41">
            <v>135743</v>
          </cell>
          <cell r="I41">
            <v>144339</v>
          </cell>
          <cell r="J41">
            <v>151248</v>
          </cell>
          <cell r="K41">
            <v>157364</v>
          </cell>
          <cell r="L41">
            <v>162985</v>
          </cell>
          <cell r="M41">
            <v>168916</v>
          </cell>
          <cell r="N41">
            <v>174663</v>
          </cell>
          <cell r="O41">
            <v>189457</v>
          </cell>
          <cell r="P41">
            <v>220407</v>
          </cell>
          <cell r="T41">
            <v>38</v>
          </cell>
          <cell r="U41" t="str">
            <v>Residential</v>
          </cell>
          <cell r="W41"/>
          <cell r="X41">
            <v>33977</v>
          </cell>
          <cell r="Y41">
            <v>79810</v>
          </cell>
          <cell r="Z41">
            <v>113120</v>
          </cell>
          <cell r="AA41">
            <v>133933</v>
          </cell>
          <cell r="AB41">
            <v>147178</v>
          </cell>
          <cell r="AC41">
            <v>154499</v>
          </cell>
          <cell r="AD41">
            <v>160898</v>
          </cell>
          <cell r="AE41">
            <v>166455</v>
          </cell>
          <cell r="AF41">
            <v>171678</v>
          </cell>
          <cell r="AG41">
            <v>177682</v>
          </cell>
          <cell r="AH41">
            <v>191301</v>
          </cell>
          <cell r="AI41">
            <v>223336</v>
          </cell>
        </row>
        <row r="42">
          <cell r="A42">
            <v>39</v>
          </cell>
          <cell r="B42" t="str">
            <v>Commercial</v>
          </cell>
          <cell r="D42"/>
          <cell r="E42">
            <v>30879</v>
          </cell>
          <cell r="F42">
            <v>61425</v>
          </cell>
          <cell r="G42">
            <v>89759</v>
          </cell>
          <cell r="H42">
            <v>118374</v>
          </cell>
          <cell r="I42">
            <v>139354</v>
          </cell>
          <cell r="J42">
            <v>166976</v>
          </cell>
          <cell r="K42">
            <v>200042</v>
          </cell>
          <cell r="L42">
            <v>232004</v>
          </cell>
          <cell r="M42">
            <v>263491</v>
          </cell>
          <cell r="N42">
            <v>287106</v>
          </cell>
          <cell r="O42">
            <v>307960</v>
          </cell>
          <cell r="P42">
            <v>333243</v>
          </cell>
          <cell r="T42">
            <v>39</v>
          </cell>
          <cell r="U42" t="str">
            <v>Commercial</v>
          </cell>
          <cell r="W42"/>
          <cell r="X42">
            <v>33991</v>
          </cell>
          <cell r="Y42">
            <v>74218</v>
          </cell>
          <cell r="Z42">
            <v>114978</v>
          </cell>
          <cell r="AA42">
            <v>149343</v>
          </cell>
          <cell r="AB42">
            <v>179746</v>
          </cell>
          <cell r="AC42">
            <v>212242</v>
          </cell>
          <cell r="AD42">
            <v>251401</v>
          </cell>
          <cell r="AE42">
            <v>290944</v>
          </cell>
          <cell r="AF42">
            <v>330082</v>
          </cell>
          <cell r="AG42">
            <v>363971</v>
          </cell>
          <cell r="AH42">
            <v>392620</v>
          </cell>
          <cell r="AI42">
            <v>419965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14695</v>
          </cell>
          <cell r="F43">
            <v>28246</v>
          </cell>
          <cell r="G43">
            <v>45030</v>
          </cell>
          <cell r="H43">
            <v>61208</v>
          </cell>
          <cell r="I43">
            <v>81788</v>
          </cell>
          <cell r="J43">
            <v>98678</v>
          </cell>
          <cell r="K43">
            <v>114361</v>
          </cell>
          <cell r="L43">
            <v>129933</v>
          </cell>
          <cell r="M43">
            <v>148776</v>
          </cell>
          <cell r="N43">
            <v>168448</v>
          </cell>
          <cell r="O43">
            <v>188653</v>
          </cell>
          <cell r="P43">
            <v>208693</v>
          </cell>
          <cell r="T43">
            <v>40</v>
          </cell>
          <cell r="U43" t="str">
            <v xml:space="preserve">Industrial </v>
          </cell>
          <cell r="W43"/>
          <cell r="X43">
            <v>7875</v>
          </cell>
          <cell r="Y43">
            <v>13399</v>
          </cell>
          <cell r="Z43">
            <v>17443</v>
          </cell>
          <cell r="AA43">
            <v>23239</v>
          </cell>
          <cell r="AB43">
            <v>31902</v>
          </cell>
          <cell r="AC43">
            <v>40681</v>
          </cell>
          <cell r="AD43">
            <v>46165</v>
          </cell>
          <cell r="AE43">
            <v>51486</v>
          </cell>
          <cell r="AF43">
            <v>61744</v>
          </cell>
          <cell r="AG43">
            <v>72720</v>
          </cell>
          <cell r="AH43">
            <v>77951</v>
          </cell>
          <cell r="AI43">
            <v>96196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88159</v>
          </cell>
          <cell r="F45">
            <v>170645</v>
          </cell>
          <cell r="G45">
            <v>247378</v>
          </cell>
          <cell r="H45">
            <v>315325</v>
          </cell>
          <cell r="I45">
            <v>365481</v>
          </cell>
          <cell r="J45">
            <v>416902</v>
          </cell>
          <cell r="K45">
            <v>471767</v>
          </cell>
          <cell r="L45">
            <v>524922</v>
          </cell>
          <cell r="M45">
            <v>581183</v>
          </cell>
          <cell r="N45">
            <v>630217</v>
          </cell>
          <cell r="O45">
            <v>686070</v>
          </cell>
          <cell r="P45">
            <v>762343</v>
          </cell>
          <cell r="T45">
            <v>42</v>
          </cell>
          <cell r="U45" t="str">
            <v>Total Volume</v>
          </cell>
          <cell r="V45"/>
          <cell r="W45"/>
          <cell r="X45">
            <v>75843</v>
          </cell>
          <cell r="Y45">
            <v>167427</v>
          </cell>
          <cell r="Z45">
            <v>245541</v>
          </cell>
          <cell r="AA45">
            <v>306515</v>
          </cell>
          <cell r="AB45">
            <v>358826</v>
          </cell>
          <cell r="AC45">
            <v>407422</v>
          </cell>
          <cell r="AD45">
            <v>458464</v>
          </cell>
          <cell r="AE45">
            <v>508885</v>
          </cell>
          <cell r="AF45">
            <v>563504</v>
          </cell>
          <cell r="AG45">
            <v>614373</v>
          </cell>
          <cell r="AH45">
            <v>661872</v>
          </cell>
          <cell r="AI45">
            <v>739497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44726</v>
          </cell>
          <cell r="F48">
            <v>84993</v>
          </cell>
          <cell r="G48">
            <v>118128</v>
          </cell>
          <cell r="H48">
            <v>142345</v>
          </cell>
          <cell r="I48">
            <v>151324</v>
          </cell>
          <cell r="J48">
            <v>158561</v>
          </cell>
          <cell r="K48">
            <v>164972</v>
          </cell>
          <cell r="L48">
            <v>170840</v>
          </cell>
          <cell r="M48">
            <v>177050</v>
          </cell>
          <cell r="N48">
            <v>183079</v>
          </cell>
          <cell r="O48">
            <v>198603</v>
          </cell>
          <cell r="P48">
            <v>231124</v>
          </cell>
          <cell r="T48">
            <v>45</v>
          </cell>
          <cell r="U48" t="str">
            <v>Residential</v>
          </cell>
          <cell r="W48"/>
          <cell r="X48">
            <v>36002</v>
          </cell>
          <cell r="Y48">
            <v>84458</v>
          </cell>
          <cell r="Z48">
            <v>119568</v>
          </cell>
          <cell r="AA48">
            <v>141545</v>
          </cell>
          <cell r="AB48">
            <v>155469</v>
          </cell>
          <cell r="AC48">
            <v>163171</v>
          </cell>
          <cell r="AD48">
            <v>169933</v>
          </cell>
          <cell r="AE48">
            <v>175799</v>
          </cell>
          <cell r="AF48">
            <v>181305</v>
          </cell>
          <cell r="AG48">
            <v>187625</v>
          </cell>
          <cell r="AH48">
            <v>201956</v>
          </cell>
          <cell r="AI48">
            <v>235674</v>
          </cell>
        </row>
        <row r="49">
          <cell r="A49">
            <v>46</v>
          </cell>
          <cell r="B49" t="str">
            <v>Commercial</v>
          </cell>
          <cell r="D49"/>
          <cell r="E49">
            <v>32431</v>
          </cell>
          <cell r="F49">
            <v>64471</v>
          </cell>
          <cell r="G49">
            <v>94168</v>
          </cell>
          <cell r="H49">
            <v>124097</v>
          </cell>
          <cell r="I49">
            <v>146012</v>
          </cell>
          <cell r="J49">
            <v>174945</v>
          </cell>
          <cell r="K49">
            <v>209606</v>
          </cell>
          <cell r="L49">
            <v>242970</v>
          </cell>
          <cell r="M49">
            <v>275936</v>
          </cell>
          <cell r="N49">
            <v>300711</v>
          </cell>
          <cell r="O49">
            <v>322594</v>
          </cell>
          <cell r="P49">
            <v>349161</v>
          </cell>
          <cell r="T49">
            <v>46</v>
          </cell>
          <cell r="U49" t="str">
            <v>Commercial</v>
          </cell>
          <cell r="W49"/>
          <cell r="X49">
            <v>36017</v>
          </cell>
          <cell r="Y49">
            <v>78546</v>
          </cell>
          <cell r="Z49">
            <v>121509</v>
          </cell>
          <cell r="AA49">
            <v>157796</v>
          </cell>
          <cell r="AB49">
            <v>189757</v>
          </cell>
          <cell r="AC49">
            <v>223945</v>
          </cell>
          <cell r="AD49">
            <v>265322</v>
          </cell>
          <cell r="AE49">
            <v>307063</v>
          </cell>
          <cell r="AF49">
            <v>348323</v>
          </cell>
          <cell r="AG49">
            <v>383996</v>
          </cell>
          <cell r="AH49">
            <v>414142</v>
          </cell>
          <cell r="AI49">
            <v>442924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15434</v>
          </cell>
          <cell r="F50">
            <v>29648</v>
          </cell>
          <cell r="G50">
            <v>47239</v>
          </cell>
          <cell r="H50">
            <v>64160</v>
          </cell>
          <cell r="I50">
            <v>85657</v>
          </cell>
          <cell r="J50">
            <v>103349</v>
          </cell>
          <cell r="K50">
            <v>119788</v>
          </cell>
          <cell r="L50">
            <v>136043</v>
          </cell>
          <cell r="M50">
            <v>155771</v>
          </cell>
          <cell r="N50">
            <v>176410</v>
          </cell>
          <cell r="O50">
            <v>197612</v>
          </cell>
          <cell r="P50">
            <v>218669</v>
          </cell>
          <cell r="T50">
            <v>47</v>
          </cell>
          <cell r="U50" t="str">
            <v xml:space="preserve">Industrial </v>
          </cell>
          <cell r="W50"/>
          <cell r="X50">
            <v>8344</v>
          </cell>
          <cell r="Y50">
            <v>14184</v>
          </cell>
          <cell r="Z50">
            <v>18447</v>
          </cell>
          <cell r="AA50">
            <v>24567</v>
          </cell>
          <cell r="AB50">
            <v>33674</v>
          </cell>
          <cell r="AC50">
            <v>42910</v>
          </cell>
          <cell r="AD50">
            <v>48705</v>
          </cell>
          <cell r="AE50">
            <v>54322</v>
          </cell>
          <cell r="AF50">
            <v>65136</v>
          </cell>
          <cell r="AG50">
            <v>76690</v>
          </cell>
          <cell r="AH50">
            <v>82194</v>
          </cell>
          <cell r="AI50">
            <v>101398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92591</v>
          </cell>
          <cell r="F52">
            <v>179112</v>
          </cell>
          <cell r="G52">
            <v>259535</v>
          </cell>
          <cell r="H52">
            <v>330602</v>
          </cell>
          <cell r="I52">
            <v>382993</v>
          </cell>
          <cell r="J52">
            <v>436855</v>
          </cell>
          <cell r="K52">
            <v>494366</v>
          </cell>
          <cell r="L52">
            <v>549853</v>
          </cell>
          <cell r="M52">
            <v>608757</v>
          </cell>
          <cell r="N52">
            <v>660200</v>
          </cell>
          <cell r="O52">
            <v>718809</v>
          </cell>
          <cell r="P52">
            <v>798954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80363</v>
          </cell>
          <cell r="Y52">
            <v>177188</v>
          </cell>
          <cell r="Z52">
            <v>259524</v>
          </cell>
          <cell r="AA52">
            <v>323908</v>
          </cell>
          <cell r="AB52">
            <v>378900</v>
          </cell>
          <cell r="AC52">
            <v>430026</v>
          </cell>
          <cell r="AD52">
            <v>483960</v>
          </cell>
          <cell r="AE52">
            <v>537184</v>
          </cell>
          <cell r="AF52">
            <v>594764</v>
          </cell>
          <cell r="AG52">
            <v>648311</v>
          </cell>
          <cell r="AH52">
            <v>698292</v>
          </cell>
          <cell r="AI52">
            <v>779996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10635</v>
          </cell>
          <cell r="F55">
            <v>10641</v>
          </cell>
          <cell r="G55">
            <v>10640</v>
          </cell>
          <cell r="H55">
            <v>10639</v>
          </cell>
          <cell r="I55">
            <v>10640</v>
          </cell>
          <cell r="J55">
            <v>10661</v>
          </cell>
          <cell r="K55">
            <v>10674</v>
          </cell>
          <cell r="L55">
            <v>10686</v>
          </cell>
          <cell r="M55">
            <v>10696</v>
          </cell>
          <cell r="N55">
            <v>10705</v>
          </cell>
          <cell r="O55">
            <v>10707</v>
          </cell>
          <cell r="P55">
            <v>10711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92003</v>
          </cell>
          <cell r="F56">
            <v>188886</v>
          </cell>
          <cell r="G56">
            <v>280863</v>
          </cell>
          <cell r="H56">
            <v>346212</v>
          </cell>
          <cell r="I56">
            <v>400323</v>
          </cell>
          <cell r="J56">
            <v>450711</v>
          </cell>
          <cell r="K56">
            <v>506576</v>
          </cell>
          <cell r="L56">
            <v>567806</v>
          </cell>
          <cell r="M56">
            <v>625553</v>
          </cell>
          <cell r="N56">
            <v>674066</v>
          </cell>
          <cell r="O56">
            <v>726166</v>
          </cell>
          <cell r="P56">
            <v>801490</v>
          </cell>
        </row>
        <row r="57">
          <cell r="A57">
            <v>54</v>
          </cell>
          <cell r="B57" t="str">
            <v>Cumulative YTD Budget Volume (Dts) * 1.035</v>
          </cell>
          <cell r="E57">
            <v>95223.104999999996</v>
          </cell>
          <cell r="F57">
            <v>195497.01</v>
          </cell>
          <cell r="G57">
            <v>290693.20500000002</v>
          </cell>
          <cell r="H57">
            <v>358329.42000000004</v>
          </cell>
          <cell r="I57">
            <v>414334.30500000005</v>
          </cell>
          <cell r="J57">
            <v>466485.88500000007</v>
          </cell>
          <cell r="K57">
            <v>524306.16</v>
          </cell>
          <cell r="L57">
            <v>587679.21000000008</v>
          </cell>
          <cell r="M57">
            <v>647447.3550000001</v>
          </cell>
          <cell r="N57">
            <v>697658.31</v>
          </cell>
          <cell r="O57">
            <v>751581.81</v>
          </cell>
          <cell r="P57">
            <v>829542.15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 Act vs Budget"/>
      <sheetName val="CustomersActvsAct"/>
      <sheetName val="VolumesActvsAct"/>
      <sheetName val="Volumes Act vs Budget"/>
      <sheetName val="RegCust"/>
      <sheetName val="RegVol"/>
      <sheetName val="UnregCust"/>
      <sheetName val="UnregVol"/>
      <sheetName val="Utility stats Q1 2018"/>
      <sheetName val="Delaware"/>
      <sheetName val="Maryland"/>
      <sheetName val="Sandpiper"/>
      <sheetName val="CFG"/>
      <sheetName val="FPUNG"/>
      <sheetName val="ESNG"/>
      <sheetName val="Electric"/>
      <sheetName val="SharpDelmarva"/>
      <sheetName val="AEO"/>
      <sheetName val="PESCO"/>
      <sheetName val="FloridaPropane"/>
    </sheetNames>
    <sheetDataSet>
      <sheetData sheetId="0">
        <row r="4">
          <cell r="B4">
            <v>12</v>
          </cell>
        </row>
        <row r="7">
          <cell r="B7" t="str">
            <v>For the Twelve Months ended December 31, 2018 and 2017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2018 and 2017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2018</v>
          </cell>
          <cell r="J14" t="str">
            <v>Actual customers for the Month of January 2017</v>
          </cell>
          <cell r="K14" t="str">
            <v>Average customers for the One Month ended January 31, 2018</v>
          </cell>
          <cell r="L14" t="str">
            <v>Average customers for the One Month ended January 31, 2017</v>
          </cell>
          <cell r="M14" t="str">
            <v>Volume for the Month of January 2018</v>
          </cell>
          <cell r="N14" t="str">
            <v>Volume for the Month of January 2017</v>
          </cell>
          <cell r="O14" t="str">
            <v>Volume for the One Month ended January 31, 2018</v>
          </cell>
          <cell r="P14" t="str">
            <v>Volume for the One Month ended January 31, 2017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2018 and 2017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2018</v>
          </cell>
          <cell r="J15" t="str">
            <v>Actual customers for the Month of February 2017</v>
          </cell>
          <cell r="K15" t="str">
            <v>Average customers for the Two Months ended February 28, 2018</v>
          </cell>
          <cell r="L15" t="str">
            <v>Average customers for the Two Months ended February 28, 2017</v>
          </cell>
          <cell r="M15" t="str">
            <v>Volume for the Month of February 2018</v>
          </cell>
          <cell r="N15" t="str">
            <v>Volume for the Month of February 2017</v>
          </cell>
          <cell r="O15" t="str">
            <v>Volume for the Two Months ended February 28, 2018</v>
          </cell>
          <cell r="P15" t="str">
            <v>Volume for the Two Months ended February 28, 2017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2018 and 2017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2018</v>
          </cell>
          <cell r="J16" t="str">
            <v>Actual customers for the Month of March 2017</v>
          </cell>
          <cell r="K16" t="str">
            <v>Average customers for the Three Months ended March 31, 2018</v>
          </cell>
          <cell r="L16" t="str">
            <v>Average customers for the Three Months ended March 31, 2017</v>
          </cell>
          <cell r="M16" t="str">
            <v>Volume for the Month of March 2018</v>
          </cell>
          <cell r="N16" t="str">
            <v>Volume for the Month of March 2017</v>
          </cell>
          <cell r="O16" t="str">
            <v>Volume for the Three Months ended March 31, 2018</v>
          </cell>
          <cell r="P16" t="str">
            <v>Volume for the Three Months ended March 31, 2017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2018 and 2017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2018</v>
          </cell>
          <cell r="J17" t="str">
            <v>Actual customers for the Month of April 2017</v>
          </cell>
          <cell r="K17" t="str">
            <v>Average customers for the Four Months ended April 30, 2018</v>
          </cell>
          <cell r="L17" t="str">
            <v>Average customers for the Four Months ended April 30, 2017</v>
          </cell>
          <cell r="M17" t="str">
            <v>Volume for the Month of April 2018</v>
          </cell>
          <cell r="N17" t="str">
            <v>Volume for the Month of April 2017</v>
          </cell>
          <cell r="O17" t="str">
            <v>Volume for the Four Months ended April 30, 2018</v>
          </cell>
          <cell r="P17" t="str">
            <v>Volume for the Four Months ended April 30, 2017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2018 and 2017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2018</v>
          </cell>
          <cell r="J18" t="str">
            <v>Actual customers for the Month of May 2017</v>
          </cell>
          <cell r="K18" t="str">
            <v>Average customers for the Five Months ended May 31, 2018</v>
          </cell>
          <cell r="L18" t="str">
            <v>Average customers for the Five Months ended May 31, 2017</v>
          </cell>
          <cell r="M18" t="str">
            <v>Volume for the Month of May 2018</v>
          </cell>
          <cell r="N18" t="str">
            <v>Volume for the Month of May 2017</v>
          </cell>
          <cell r="O18" t="str">
            <v>Volume for the Five Months ended May 31, 2018</v>
          </cell>
          <cell r="P18" t="str">
            <v>Volume for the Five Months ended May 31, 2017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2018 and 2017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2018</v>
          </cell>
          <cell r="J19" t="str">
            <v>Actual customers for the Month of June 2017</v>
          </cell>
          <cell r="K19" t="str">
            <v>Average customers for the Six Months ended June 30, 2018</v>
          </cell>
          <cell r="L19" t="str">
            <v>Average customers for the Six Months ended June 30, 2017</v>
          </cell>
          <cell r="M19" t="str">
            <v>Volume for the Month of June 2018</v>
          </cell>
          <cell r="N19" t="str">
            <v>Volume for the Month of June 2017</v>
          </cell>
          <cell r="O19" t="str">
            <v>Volume for the Six Months ended June 30, 2018</v>
          </cell>
          <cell r="P19" t="str">
            <v>Volume for the Six Months ended June 30, 2017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2018 and 2017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2018</v>
          </cell>
          <cell r="J20" t="str">
            <v>Actual customers for the Month of July 2017</v>
          </cell>
          <cell r="K20" t="str">
            <v>Average customers for the Seven Months ended July 31, 2018</v>
          </cell>
          <cell r="L20" t="str">
            <v>Average customers for the Seven Months ended July 31, 2017</v>
          </cell>
          <cell r="M20" t="str">
            <v>Volume for the Month of July 2018</v>
          </cell>
          <cell r="N20" t="str">
            <v>Volume for the Month of July 2017</v>
          </cell>
          <cell r="O20" t="str">
            <v>Volume for the Seven Months ended July 31, 2018</v>
          </cell>
          <cell r="P20" t="str">
            <v>Volume for the Seven Months ended July 31, 2017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2018 and 2017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2018</v>
          </cell>
          <cell r="J21" t="str">
            <v>Actual customers for the Month of August 2017</v>
          </cell>
          <cell r="K21" t="str">
            <v>Average customers for the Eight Months ended August 31, 2018</v>
          </cell>
          <cell r="L21" t="str">
            <v>Average customers for the Eight Months ended August 31, 2017</v>
          </cell>
          <cell r="M21" t="str">
            <v>Volume for the Month of August 2018</v>
          </cell>
          <cell r="N21" t="str">
            <v>Volume for the Month of August 2017</v>
          </cell>
          <cell r="O21" t="str">
            <v>Volume for the Eight Months ended August 31, 2018</v>
          </cell>
          <cell r="P21" t="str">
            <v>Volume for the Eight Months ended August 31, 2017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2018 and 2017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2018</v>
          </cell>
          <cell r="J22" t="str">
            <v>Actual customers for the Month of September 2017</v>
          </cell>
          <cell r="K22" t="str">
            <v>Average customers for the Nine Months ended September 30, 2018</v>
          </cell>
          <cell r="L22" t="str">
            <v>Average customers for the Nine Months ended September 30, 2017</v>
          </cell>
          <cell r="M22" t="str">
            <v>Volume for the Month of September 2018</v>
          </cell>
          <cell r="N22" t="str">
            <v>Volume for the Month of September 2017</v>
          </cell>
          <cell r="O22" t="str">
            <v>Volume for the Nine Months ended September 30, 2018</v>
          </cell>
          <cell r="P22" t="str">
            <v>Volume for the Nine Months ended September 30, 2017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2018 and 2017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2018</v>
          </cell>
          <cell r="J23" t="str">
            <v>Actual customers for the Month of October 2017</v>
          </cell>
          <cell r="K23" t="str">
            <v>Average customers for the Ten Months ended October 31, 2018</v>
          </cell>
          <cell r="L23" t="str">
            <v>Average customers for the Ten Months ended October 31, 2017</v>
          </cell>
          <cell r="M23" t="str">
            <v>Volume for the Month of October 2018</v>
          </cell>
          <cell r="N23" t="str">
            <v>Volume for the Month of October 2017</v>
          </cell>
          <cell r="O23" t="str">
            <v>Volume for the Ten Months ended October 31, 2018</v>
          </cell>
          <cell r="P23" t="str">
            <v>Volume for the Ten Months ended October 31, 2017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2018 and 2017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2018</v>
          </cell>
          <cell r="J24" t="str">
            <v>Actual customers for the Month of November 2017</v>
          </cell>
          <cell r="K24" t="str">
            <v>Average customers for the Eleven Months ended November 30, 2018</v>
          </cell>
          <cell r="L24" t="str">
            <v>Average customers for the Eleven Months ended November 30, 2017</v>
          </cell>
          <cell r="M24" t="str">
            <v>Volume for the Month of November 2018</v>
          </cell>
          <cell r="N24" t="str">
            <v>Volume for the Month of November 2017</v>
          </cell>
          <cell r="O24" t="str">
            <v>Volume for the Eleven Months ended November 30, 2018</v>
          </cell>
          <cell r="P24" t="str">
            <v>Volume for the Eleven Months ended November 30, 2017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2018 and 2017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2018</v>
          </cell>
          <cell r="J25" t="str">
            <v>Actual customers for the Month of December 2017</v>
          </cell>
          <cell r="K25" t="str">
            <v>Average customers for the Twelve Months ended December 31, 2018</v>
          </cell>
          <cell r="L25" t="str">
            <v>Average customers for the Twelve Months ended December 31, 2017</v>
          </cell>
          <cell r="M25" t="str">
            <v>Volume for the Month of December 2018</v>
          </cell>
          <cell r="N25" t="str">
            <v>Volume for the Month of December 2017</v>
          </cell>
          <cell r="O25" t="str">
            <v>Volume for the Twelve Months ended December 31, 2018</v>
          </cell>
          <cell r="P25" t="str">
            <v>Volume for the Twelve Months ended December 31, 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50674.916666666664</v>
          </cell>
          <cell r="E5">
            <v>50133</v>
          </cell>
          <cell r="F5">
            <v>50319</v>
          </cell>
          <cell r="G5">
            <v>50396</v>
          </cell>
          <cell r="H5">
            <v>50486</v>
          </cell>
          <cell r="I5">
            <v>50384</v>
          </cell>
          <cell r="J5">
            <v>50307</v>
          </cell>
          <cell r="K5">
            <v>50283</v>
          </cell>
          <cell r="L5">
            <v>50379</v>
          </cell>
          <cell r="M5">
            <v>50619</v>
          </cell>
          <cell r="N5">
            <v>50914</v>
          </cell>
          <cell r="O5">
            <v>51648</v>
          </cell>
          <cell r="P5">
            <v>52231</v>
          </cell>
          <cell r="T5">
            <v>2</v>
          </cell>
          <cell r="U5" t="str">
            <v>Residential</v>
          </cell>
          <cell r="V5">
            <v>48171</v>
          </cell>
          <cell r="W5">
            <v>578048</v>
          </cell>
          <cell r="X5">
            <v>47631</v>
          </cell>
          <cell r="Y5">
            <v>47841</v>
          </cell>
          <cell r="Z5">
            <v>48000</v>
          </cell>
          <cell r="AA5">
            <v>48074</v>
          </cell>
          <cell r="AB5">
            <v>47891</v>
          </cell>
          <cell r="AC5">
            <v>47715</v>
          </cell>
          <cell r="AD5">
            <v>47669</v>
          </cell>
          <cell r="AE5">
            <v>47883</v>
          </cell>
          <cell r="AF5">
            <v>48172</v>
          </cell>
          <cell r="AG5">
            <v>48471</v>
          </cell>
          <cell r="AH5">
            <v>48987</v>
          </cell>
          <cell r="AI5">
            <v>49714</v>
          </cell>
        </row>
        <row r="6">
          <cell r="A6">
            <v>3</v>
          </cell>
          <cell r="B6" t="str">
            <v>Commercial</v>
          </cell>
          <cell r="C6"/>
          <cell r="D6">
            <v>4030.4166666666665</v>
          </cell>
          <cell r="E6">
            <v>4075</v>
          </cell>
          <cell r="F6">
            <v>4085</v>
          </cell>
          <cell r="G6">
            <v>4097</v>
          </cell>
          <cell r="H6">
            <v>4084</v>
          </cell>
          <cell r="I6">
            <v>4029</v>
          </cell>
          <cell r="J6">
            <v>3992</v>
          </cell>
          <cell r="K6">
            <v>3976</v>
          </cell>
          <cell r="L6">
            <v>3964</v>
          </cell>
          <cell r="M6">
            <v>3957</v>
          </cell>
          <cell r="N6">
            <v>3964</v>
          </cell>
          <cell r="O6">
            <v>4025</v>
          </cell>
          <cell r="P6">
            <v>4117</v>
          </cell>
          <cell r="T6">
            <v>3</v>
          </cell>
          <cell r="U6" t="str">
            <v>Commercial</v>
          </cell>
          <cell r="V6">
            <v>3941</v>
          </cell>
          <cell r="W6">
            <v>47287</v>
          </cell>
          <cell r="X6">
            <v>3994</v>
          </cell>
          <cell r="Y6">
            <v>4002</v>
          </cell>
          <cell r="Z6">
            <v>4007</v>
          </cell>
          <cell r="AA6">
            <v>3979</v>
          </cell>
          <cell r="AB6">
            <v>3923</v>
          </cell>
          <cell r="AC6">
            <v>3900</v>
          </cell>
          <cell r="AD6">
            <v>3881</v>
          </cell>
          <cell r="AE6">
            <v>3882</v>
          </cell>
          <cell r="AF6">
            <v>3882</v>
          </cell>
          <cell r="AG6">
            <v>3874</v>
          </cell>
          <cell r="AH6">
            <v>3941</v>
          </cell>
          <cell r="AI6">
            <v>4022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91.166666666666671</v>
          </cell>
          <cell r="E7">
            <v>88</v>
          </cell>
          <cell r="F7">
            <v>89</v>
          </cell>
          <cell r="G7">
            <v>89</v>
          </cell>
          <cell r="H7">
            <v>90</v>
          </cell>
          <cell r="I7">
            <v>91</v>
          </cell>
          <cell r="J7">
            <v>91</v>
          </cell>
          <cell r="K7">
            <v>91</v>
          </cell>
          <cell r="L7">
            <v>91</v>
          </cell>
          <cell r="M7">
            <v>93</v>
          </cell>
          <cell r="N7">
            <v>94</v>
          </cell>
          <cell r="O7">
            <v>94</v>
          </cell>
          <cell r="P7">
            <v>93</v>
          </cell>
          <cell r="T7">
            <v>4</v>
          </cell>
          <cell r="U7" t="str">
            <v xml:space="preserve">Industrial </v>
          </cell>
          <cell r="V7">
            <v>88</v>
          </cell>
          <cell r="W7">
            <v>1056</v>
          </cell>
          <cell r="X7">
            <v>87</v>
          </cell>
          <cell r="Y7">
            <v>87</v>
          </cell>
          <cell r="Z7">
            <v>87</v>
          </cell>
          <cell r="AA7">
            <v>88</v>
          </cell>
          <cell r="AB7">
            <v>89</v>
          </cell>
          <cell r="AC7">
            <v>85</v>
          </cell>
          <cell r="AD7">
            <v>86</v>
          </cell>
          <cell r="AE7">
            <v>86</v>
          </cell>
          <cell r="AF7">
            <v>87</v>
          </cell>
          <cell r="AG7">
            <v>91</v>
          </cell>
          <cell r="AH7">
            <v>88</v>
          </cell>
          <cell r="AI7">
            <v>95</v>
          </cell>
        </row>
        <row r="8">
          <cell r="A8">
            <v>5</v>
          </cell>
          <cell r="B8" t="str">
            <v>Other</v>
          </cell>
          <cell r="C8"/>
          <cell r="D8">
            <v>4.666666666666667</v>
          </cell>
          <cell r="E8">
            <v>5</v>
          </cell>
          <cell r="F8">
            <v>7</v>
          </cell>
          <cell r="G8">
            <v>5</v>
          </cell>
          <cell r="H8">
            <v>5</v>
          </cell>
          <cell r="I8">
            <v>6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5</v>
          </cell>
          <cell r="O8">
            <v>2</v>
          </cell>
          <cell r="P8">
            <v>5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55</v>
          </cell>
          <cell r="X8">
            <v>5</v>
          </cell>
          <cell r="Y8">
            <v>5</v>
          </cell>
          <cell r="Z8">
            <v>5</v>
          </cell>
          <cell r="AA8">
            <v>5</v>
          </cell>
          <cell r="AB8">
            <v>7</v>
          </cell>
          <cell r="AC8">
            <v>9</v>
          </cell>
          <cell r="AD8">
            <v>5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6</v>
          </cell>
        </row>
        <row r="9">
          <cell r="A9">
            <v>6</v>
          </cell>
          <cell r="B9" t="str">
            <v>Total customers</v>
          </cell>
          <cell r="C9"/>
          <cell r="D9">
            <v>54801.166666666657</v>
          </cell>
          <cell r="E9">
            <v>54301</v>
          </cell>
          <cell r="F9">
            <v>54500</v>
          </cell>
          <cell r="G9">
            <v>54587</v>
          </cell>
          <cell r="H9">
            <v>54665</v>
          </cell>
          <cell r="I9">
            <v>54510</v>
          </cell>
          <cell r="J9">
            <v>54392</v>
          </cell>
          <cell r="K9">
            <v>54352</v>
          </cell>
          <cell r="L9">
            <v>54440</v>
          </cell>
          <cell r="M9">
            <v>54675</v>
          </cell>
          <cell r="N9">
            <v>54977</v>
          </cell>
          <cell r="O9">
            <v>55769</v>
          </cell>
          <cell r="P9">
            <v>56446</v>
          </cell>
          <cell r="T9">
            <v>6</v>
          </cell>
          <cell r="U9" t="str">
            <v>Total customers</v>
          </cell>
          <cell r="V9">
            <v>52205</v>
          </cell>
          <cell r="W9">
            <v>626446</v>
          </cell>
          <cell r="X9">
            <v>51717</v>
          </cell>
          <cell r="Y9">
            <v>51935</v>
          </cell>
          <cell r="Z9">
            <v>52099</v>
          </cell>
          <cell r="AA9">
            <v>52146</v>
          </cell>
          <cell r="AB9">
            <v>51910</v>
          </cell>
          <cell r="AC9">
            <v>51709</v>
          </cell>
          <cell r="AD9">
            <v>51641</v>
          </cell>
          <cell r="AE9">
            <v>51853</v>
          </cell>
          <cell r="AF9">
            <v>52143</v>
          </cell>
          <cell r="AG9">
            <v>52438</v>
          </cell>
          <cell r="AH9">
            <v>53018</v>
          </cell>
          <cell r="AI9">
            <v>53837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3123423</v>
          </cell>
          <cell r="E12">
            <v>703234</v>
          </cell>
          <cell r="F12">
            <v>539169</v>
          </cell>
          <cell r="G12">
            <v>436062</v>
          </cell>
          <cell r="H12">
            <v>377152</v>
          </cell>
          <cell r="I12">
            <v>138629</v>
          </cell>
          <cell r="J12">
            <v>55888</v>
          </cell>
          <cell r="K12">
            <v>47067</v>
          </cell>
          <cell r="L12">
            <v>40751</v>
          </cell>
          <cell r="M12">
            <v>43203</v>
          </cell>
          <cell r="N12">
            <v>60708</v>
          </cell>
          <cell r="O12">
            <v>216049</v>
          </cell>
          <cell r="P12">
            <v>465511</v>
          </cell>
          <cell r="T12">
            <v>9</v>
          </cell>
          <cell r="U12" t="str">
            <v>Residential</v>
          </cell>
          <cell r="W12">
            <v>2512861</v>
          </cell>
          <cell r="X12">
            <v>532570</v>
          </cell>
          <cell r="Y12">
            <v>432647</v>
          </cell>
          <cell r="Z12">
            <v>390919</v>
          </cell>
          <cell r="AA12">
            <v>267835</v>
          </cell>
          <cell r="AB12">
            <v>99855</v>
          </cell>
          <cell r="AC12">
            <v>64276</v>
          </cell>
          <cell r="AD12">
            <v>45115</v>
          </cell>
          <cell r="AE12">
            <v>42375</v>
          </cell>
          <cell r="AF12">
            <v>45126</v>
          </cell>
          <cell r="AG12">
            <v>50795</v>
          </cell>
          <cell r="AH12">
            <v>163220</v>
          </cell>
          <cell r="AI12">
            <v>378128</v>
          </cell>
        </row>
        <row r="13">
          <cell r="A13">
            <v>10</v>
          </cell>
          <cell r="B13" t="str">
            <v>Commercial</v>
          </cell>
          <cell r="D13">
            <v>2413774</v>
          </cell>
          <cell r="E13">
            <v>469375</v>
          </cell>
          <cell r="F13">
            <v>331447</v>
          </cell>
          <cell r="G13">
            <v>326454</v>
          </cell>
          <cell r="H13">
            <v>232321</v>
          </cell>
          <cell r="I13">
            <v>114099</v>
          </cell>
          <cell r="J13">
            <v>87388</v>
          </cell>
          <cell r="K13">
            <v>73839</v>
          </cell>
          <cell r="L13">
            <v>77774</v>
          </cell>
          <cell r="M13">
            <v>76840</v>
          </cell>
          <cell r="N13">
            <v>107166</v>
          </cell>
          <cell r="O13">
            <v>208965</v>
          </cell>
          <cell r="P13">
            <v>308106</v>
          </cell>
          <cell r="T13">
            <v>10</v>
          </cell>
          <cell r="U13" t="str">
            <v>Commercial</v>
          </cell>
          <cell r="W13">
            <v>2015952</v>
          </cell>
          <cell r="X13">
            <v>330553</v>
          </cell>
          <cell r="Y13">
            <v>282389</v>
          </cell>
          <cell r="Z13">
            <v>281338</v>
          </cell>
          <cell r="AA13">
            <v>161810</v>
          </cell>
          <cell r="AB13">
            <v>104997</v>
          </cell>
          <cell r="AC13">
            <v>90433</v>
          </cell>
          <cell r="AD13">
            <v>70404</v>
          </cell>
          <cell r="AE13">
            <v>77275</v>
          </cell>
          <cell r="AF13">
            <v>84650</v>
          </cell>
          <cell r="AG13">
            <v>92212</v>
          </cell>
          <cell r="AH13">
            <v>165759</v>
          </cell>
          <cell r="AI13">
            <v>274132</v>
          </cell>
        </row>
        <row r="14">
          <cell r="A14">
            <v>11</v>
          </cell>
          <cell r="B14" t="str">
            <v xml:space="preserve">Industrial </v>
          </cell>
          <cell r="D14">
            <v>3195092</v>
          </cell>
          <cell r="E14">
            <v>321487</v>
          </cell>
          <cell r="F14">
            <v>273049</v>
          </cell>
          <cell r="G14">
            <v>298930</v>
          </cell>
          <cell r="H14">
            <v>267843</v>
          </cell>
          <cell r="I14">
            <v>245032</v>
          </cell>
          <cell r="J14">
            <v>234419</v>
          </cell>
          <cell r="K14">
            <v>215710</v>
          </cell>
          <cell r="L14">
            <v>238644</v>
          </cell>
          <cell r="M14">
            <v>231960</v>
          </cell>
          <cell r="N14">
            <v>284945</v>
          </cell>
          <cell r="O14">
            <v>282386</v>
          </cell>
          <cell r="P14">
            <v>300687</v>
          </cell>
          <cell r="T14">
            <v>11</v>
          </cell>
          <cell r="U14" t="str">
            <v xml:space="preserve">Industrial </v>
          </cell>
          <cell r="W14">
            <v>2974686</v>
          </cell>
          <cell r="X14">
            <v>280946</v>
          </cell>
          <cell r="Y14">
            <v>261329</v>
          </cell>
          <cell r="Z14">
            <v>288554</v>
          </cell>
          <cell r="AA14">
            <v>226739</v>
          </cell>
          <cell r="AB14">
            <v>241469</v>
          </cell>
          <cell r="AC14">
            <v>236804</v>
          </cell>
          <cell r="AD14">
            <v>190691</v>
          </cell>
          <cell r="AE14">
            <v>223615</v>
          </cell>
          <cell r="AF14">
            <v>263389</v>
          </cell>
          <cell r="AG14">
            <v>267396</v>
          </cell>
          <cell r="AH14">
            <v>238073</v>
          </cell>
          <cell r="AI14">
            <v>255681</v>
          </cell>
        </row>
        <row r="15">
          <cell r="A15">
            <v>12</v>
          </cell>
          <cell r="B15" t="str">
            <v>Other</v>
          </cell>
          <cell r="D15">
            <v>76915</v>
          </cell>
          <cell r="E15">
            <v>4163</v>
          </cell>
          <cell r="F15">
            <v>3534</v>
          </cell>
          <cell r="G15">
            <v>4268</v>
          </cell>
          <cell r="H15">
            <v>4815</v>
          </cell>
          <cell r="I15">
            <v>6471</v>
          </cell>
          <cell r="J15">
            <v>5747</v>
          </cell>
          <cell r="K15">
            <v>8393</v>
          </cell>
          <cell r="L15">
            <v>9286</v>
          </cell>
          <cell r="M15">
            <v>7853</v>
          </cell>
          <cell r="N15">
            <v>8544</v>
          </cell>
          <cell r="O15">
            <v>6734</v>
          </cell>
          <cell r="P15">
            <v>7107</v>
          </cell>
          <cell r="T15">
            <v>12</v>
          </cell>
          <cell r="U15" t="str">
            <v xml:space="preserve">Interruptible </v>
          </cell>
          <cell r="W15">
            <v>91114</v>
          </cell>
          <cell r="X15">
            <v>3839</v>
          </cell>
          <cell r="Y15">
            <v>2625</v>
          </cell>
          <cell r="Z15">
            <v>3581</v>
          </cell>
          <cell r="AA15">
            <v>3651</v>
          </cell>
          <cell r="AB15">
            <v>5382</v>
          </cell>
          <cell r="AC15">
            <v>10315</v>
          </cell>
          <cell r="AD15">
            <v>11211</v>
          </cell>
          <cell r="AE15">
            <v>14827</v>
          </cell>
          <cell r="AF15">
            <v>7918</v>
          </cell>
          <cell r="AG15">
            <v>12246</v>
          </cell>
          <cell r="AH15">
            <v>9289</v>
          </cell>
          <cell r="AI15">
            <v>6230</v>
          </cell>
        </row>
        <row r="16">
          <cell r="A16">
            <v>13</v>
          </cell>
          <cell r="B16" t="str">
            <v>Total Volume</v>
          </cell>
          <cell r="D16">
            <v>8809204</v>
          </cell>
          <cell r="E16">
            <v>1498259</v>
          </cell>
          <cell r="F16">
            <v>1147199</v>
          </cell>
          <cell r="G16">
            <v>1065714</v>
          </cell>
          <cell r="H16">
            <v>882131</v>
          </cell>
          <cell r="I16">
            <v>504231</v>
          </cell>
          <cell r="J16">
            <v>383442</v>
          </cell>
          <cell r="K16">
            <v>345009</v>
          </cell>
          <cell r="L16">
            <v>366455</v>
          </cell>
          <cell r="M16">
            <v>359856</v>
          </cell>
          <cell r="N16">
            <v>461363</v>
          </cell>
          <cell r="O16">
            <v>714134</v>
          </cell>
          <cell r="P16">
            <v>1081411</v>
          </cell>
          <cell r="T16">
            <v>13</v>
          </cell>
          <cell r="U16" t="str">
            <v>Total Deliveries</v>
          </cell>
          <cell r="V16"/>
          <cell r="W16">
            <v>7594613</v>
          </cell>
          <cell r="X16">
            <v>1147908</v>
          </cell>
          <cell r="Y16">
            <v>978990</v>
          </cell>
          <cell r="Z16">
            <v>964392</v>
          </cell>
          <cell r="AA16">
            <v>660035</v>
          </cell>
          <cell r="AB16">
            <v>451703</v>
          </cell>
          <cell r="AC16">
            <v>401828</v>
          </cell>
          <cell r="AD16">
            <v>317421</v>
          </cell>
          <cell r="AE16">
            <v>358092</v>
          </cell>
          <cell r="AF16">
            <v>401083</v>
          </cell>
          <cell r="AG16">
            <v>422649</v>
          </cell>
          <cell r="AH16">
            <v>576341</v>
          </cell>
          <cell r="AI16">
            <v>914171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3265018</v>
          </cell>
          <cell r="E21">
            <v>738224</v>
          </cell>
          <cell r="F21">
            <v>563938</v>
          </cell>
          <cell r="G21">
            <v>456385</v>
          </cell>
          <cell r="H21">
            <v>393229</v>
          </cell>
          <cell r="I21">
            <v>144551</v>
          </cell>
          <cell r="J21">
            <v>58276</v>
          </cell>
          <cell r="K21">
            <v>49195</v>
          </cell>
          <cell r="L21">
            <v>42450</v>
          </cell>
          <cell r="M21">
            <v>45128</v>
          </cell>
          <cell r="N21">
            <v>63151</v>
          </cell>
          <cell r="O21">
            <v>225010</v>
          </cell>
          <cell r="P21">
            <v>485481</v>
          </cell>
          <cell r="T21">
            <v>18</v>
          </cell>
          <cell r="U21" t="str">
            <v>Residential</v>
          </cell>
          <cell r="W21">
            <v>2635109</v>
          </cell>
          <cell r="X21">
            <v>559342</v>
          </cell>
          <cell r="Y21">
            <v>453808</v>
          </cell>
          <cell r="Z21">
            <v>409718</v>
          </cell>
          <cell r="AA21">
            <v>280131</v>
          </cell>
          <cell r="AB21">
            <v>104305</v>
          </cell>
          <cell r="AC21">
            <v>67140</v>
          </cell>
          <cell r="AD21">
            <v>47291</v>
          </cell>
          <cell r="AE21">
            <v>44234</v>
          </cell>
          <cell r="AF21">
            <v>47246</v>
          </cell>
          <cell r="AG21">
            <v>53291</v>
          </cell>
          <cell r="AH21">
            <v>171277</v>
          </cell>
          <cell r="AI21">
            <v>397326</v>
          </cell>
        </row>
        <row r="22">
          <cell r="A22">
            <v>19</v>
          </cell>
          <cell r="B22" t="str">
            <v>Commercial</v>
          </cell>
          <cell r="D22">
            <v>2522283</v>
          </cell>
          <cell r="E22">
            <v>492729</v>
          </cell>
          <cell r="F22">
            <v>346674</v>
          </cell>
          <cell r="G22">
            <v>341669</v>
          </cell>
          <cell r="H22">
            <v>242224</v>
          </cell>
          <cell r="I22">
            <v>118973</v>
          </cell>
          <cell r="J22">
            <v>91121</v>
          </cell>
          <cell r="K22">
            <v>77177</v>
          </cell>
          <cell r="L22">
            <v>81017</v>
          </cell>
          <cell r="M22">
            <v>80264</v>
          </cell>
          <cell r="N22">
            <v>111479</v>
          </cell>
          <cell r="O22">
            <v>217632</v>
          </cell>
          <cell r="P22">
            <v>321324</v>
          </cell>
          <cell r="T22">
            <v>19</v>
          </cell>
          <cell r="U22" t="str">
            <v>Commercial</v>
          </cell>
          <cell r="W22">
            <v>2113441</v>
          </cell>
          <cell r="X22">
            <v>347170</v>
          </cell>
          <cell r="Y22">
            <v>296201</v>
          </cell>
          <cell r="Z22">
            <v>294868</v>
          </cell>
          <cell r="AA22">
            <v>169239</v>
          </cell>
          <cell r="AB22">
            <v>109676</v>
          </cell>
          <cell r="AC22">
            <v>94463</v>
          </cell>
          <cell r="AD22">
            <v>73800</v>
          </cell>
          <cell r="AE22">
            <v>80664</v>
          </cell>
          <cell r="AF22">
            <v>88626</v>
          </cell>
          <cell r="AG22">
            <v>96743</v>
          </cell>
          <cell r="AH22">
            <v>173941</v>
          </cell>
          <cell r="AI22">
            <v>288050</v>
          </cell>
        </row>
        <row r="23">
          <cell r="A23">
            <v>20</v>
          </cell>
          <cell r="B23" t="str">
            <v xml:space="preserve">Industrial </v>
          </cell>
          <cell r="D23">
            <v>3335583</v>
          </cell>
          <cell r="E23">
            <v>337483</v>
          </cell>
          <cell r="F23">
            <v>285593</v>
          </cell>
          <cell r="G23">
            <v>312862</v>
          </cell>
          <cell r="H23">
            <v>279261</v>
          </cell>
          <cell r="I23">
            <v>255500</v>
          </cell>
          <cell r="J23">
            <v>244434</v>
          </cell>
          <cell r="K23">
            <v>225463</v>
          </cell>
          <cell r="L23">
            <v>248595</v>
          </cell>
          <cell r="M23">
            <v>242296</v>
          </cell>
          <cell r="N23">
            <v>296412</v>
          </cell>
          <cell r="O23">
            <v>294098</v>
          </cell>
          <cell r="P23">
            <v>313586</v>
          </cell>
          <cell r="T23">
            <v>20</v>
          </cell>
          <cell r="U23" t="str">
            <v xml:space="preserve">Industrial </v>
          </cell>
          <cell r="W23">
            <v>3116438</v>
          </cell>
          <cell r="X23">
            <v>295069</v>
          </cell>
          <cell r="Y23">
            <v>274111</v>
          </cell>
          <cell r="Z23">
            <v>302431</v>
          </cell>
          <cell r="AA23">
            <v>237149</v>
          </cell>
          <cell r="AB23">
            <v>252229</v>
          </cell>
          <cell r="AC23">
            <v>247356</v>
          </cell>
          <cell r="AD23">
            <v>199888</v>
          </cell>
          <cell r="AE23">
            <v>233423</v>
          </cell>
          <cell r="AF23">
            <v>275760</v>
          </cell>
          <cell r="AG23">
            <v>280536</v>
          </cell>
          <cell r="AH23">
            <v>249824</v>
          </cell>
          <cell r="AI23">
            <v>268662</v>
          </cell>
        </row>
        <row r="24">
          <cell r="A24">
            <v>21</v>
          </cell>
          <cell r="B24" t="str">
            <v>Other</v>
          </cell>
          <cell r="D24">
            <v>80254</v>
          </cell>
          <cell r="E24">
            <v>4370</v>
          </cell>
          <cell r="F24">
            <v>3696</v>
          </cell>
          <cell r="G24">
            <v>4467</v>
          </cell>
          <cell r="H24">
            <v>5020</v>
          </cell>
          <cell r="I24">
            <v>6747</v>
          </cell>
          <cell r="J24">
            <v>5993</v>
          </cell>
          <cell r="K24">
            <v>8772</v>
          </cell>
          <cell r="L24">
            <v>9673</v>
          </cell>
          <cell r="M24">
            <v>8203</v>
          </cell>
          <cell r="N24">
            <v>8888</v>
          </cell>
          <cell r="O24">
            <v>7013</v>
          </cell>
          <cell r="P24">
            <v>7412</v>
          </cell>
          <cell r="T24">
            <v>21</v>
          </cell>
          <cell r="U24" t="str">
            <v xml:space="preserve">Interruptible </v>
          </cell>
          <cell r="W24">
            <v>95415</v>
          </cell>
          <cell r="X24">
            <v>4032</v>
          </cell>
          <cell r="Y24">
            <v>2753</v>
          </cell>
          <cell r="Z24">
            <v>3753</v>
          </cell>
          <cell r="AA24">
            <v>3819</v>
          </cell>
          <cell r="AB24">
            <v>5622</v>
          </cell>
          <cell r="AC24">
            <v>10775</v>
          </cell>
          <cell r="AD24">
            <v>11752</v>
          </cell>
          <cell r="AE24">
            <v>15477</v>
          </cell>
          <cell r="AF24">
            <v>8290</v>
          </cell>
          <cell r="AG24">
            <v>12848</v>
          </cell>
          <cell r="AH24">
            <v>9748</v>
          </cell>
          <cell r="AI24">
            <v>6546</v>
          </cell>
        </row>
        <row r="25">
          <cell r="A25">
            <v>22</v>
          </cell>
          <cell r="B25" t="str">
            <v>Total Volume</v>
          </cell>
          <cell r="C25"/>
          <cell r="D25">
            <v>9203138</v>
          </cell>
          <cell r="E25">
            <v>1572806</v>
          </cell>
          <cell r="F25">
            <v>1199901</v>
          </cell>
          <cell r="G25">
            <v>1115383</v>
          </cell>
          <cell r="H25">
            <v>919734</v>
          </cell>
          <cell r="I25">
            <v>525771</v>
          </cell>
          <cell r="J25">
            <v>399824</v>
          </cell>
          <cell r="K25">
            <v>360607</v>
          </cell>
          <cell r="L25">
            <v>381735</v>
          </cell>
          <cell r="M25">
            <v>375891</v>
          </cell>
          <cell r="N25">
            <v>479930</v>
          </cell>
          <cell r="O25">
            <v>743753</v>
          </cell>
          <cell r="P25">
            <v>1127803</v>
          </cell>
          <cell r="T25">
            <v>22</v>
          </cell>
          <cell r="U25" t="str">
            <v>Total Deliveries</v>
          </cell>
          <cell r="V25"/>
          <cell r="W25">
            <v>7960403</v>
          </cell>
          <cell r="X25">
            <v>1205613</v>
          </cell>
          <cell r="Y25">
            <v>1026873</v>
          </cell>
          <cell r="Z25">
            <v>1010770</v>
          </cell>
          <cell r="AA25">
            <v>690338</v>
          </cell>
          <cell r="AB25">
            <v>471832</v>
          </cell>
          <cell r="AC25">
            <v>419734</v>
          </cell>
          <cell r="AD25">
            <v>332731</v>
          </cell>
          <cell r="AE25">
            <v>373798</v>
          </cell>
          <cell r="AF25">
            <v>419922</v>
          </cell>
          <cell r="AG25">
            <v>443418</v>
          </cell>
          <cell r="AH25">
            <v>604790</v>
          </cell>
          <cell r="AI25">
            <v>960584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54142</v>
          </cell>
          <cell r="F28">
            <v>54309</v>
          </cell>
          <cell r="G28">
            <v>54450</v>
          </cell>
          <cell r="H28">
            <v>54516</v>
          </cell>
          <cell r="I28">
            <v>54465</v>
          </cell>
          <cell r="J28">
            <v>52361</v>
          </cell>
          <cell r="K28">
            <v>52463</v>
          </cell>
          <cell r="L28">
            <v>52580</v>
          </cell>
          <cell r="M28">
            <v>52672</v>
          </cell>
          <cell r="N28">
            <v>55289</v>
          </cell>
          <cell r="O28">
            <v>55803</v>
          </cell>
          <cell r="P28">
            <v>56262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1215129.336468203</v>
          </cell>
          <cell r="F29">
            <v>1166125.7044371287</v>
          </cell>
          <cell r="G29">
            <v>1077030.1594555941</v>
          </cell>
          <cell r="H29">
            <v>736622.51602018939</v>
          </cell>
          <cell r="I29">
            <v>500415.08057423995</v>
          </cell>
          <cell r="J29">
            <v>428624.56721531099</v>
          </cell>
          <cell r="K29">
            <v>350259.46923281683</v>
          </cell>
          <cell r="L29">
            <v>361273.22532075143</v>
          </cell>
          <cell r="M29">
            <v>414015.14229892328</v>
          </cell>
          <cell r="N29">
            <v>495768.26485847973</v>
          </cell>
          <cell r="O29">
            <v>642365.60679574776</v>
          </cell>
          <cell r="P29">
            <v>1007989.5995183686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1257658.8632445901</v>
          </cell>
          <cell r="F30">
            <v>1206940.1040924282</v>
          </cell>
          <cell r="G30">
            <v>1114726.2150365398</v>
          </cell>
          <cell r="H30">
            <v>762404.30408089596</v>
          </cell>
          <cell r="I30">
            <v>517929.60839433828</v>
          </cell>
          <cell r="J30">
            <v>443626.42706784682</v>
          </cell>
          <cell r="K30">
            <v>362518.5506559654</v>
          </cell>
          <cell r="L30">
            <v>373917.78820697771</v>
          </cell>
          <cell r="M30">
            <v>428505.67227938556</v>
          </cell>
          <cell r="N30">
            <v>513120.15412852645</v>
          </cell>
          <cell r="O30">
            <v>664848.40303359891</v>
          </cell>
          <cell r="P30">
            <v>1043269.2355015114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50133</v>
          </cell>
          <cell r="F34">
            <v>50226</v>
          </cell>
          <cell r="G34">
            <v>50283</v>
          </cell>
          <cell r="H34">
            <v>50334</v>
          </cell>
          <cell r="I34">
            <v>50344</v>
          </cell>
          <cell r="J34">
            <v>50338</v>
          </cell>
          <cell r="K34">
            <v>50330</v>
          </cell>
          <cell r="L34">
            <v>50336</v>
          </cell>
          <cell r="M34">
            <v>50367</v>
          </cell>
          <cell r="N34">
            <v>50422</v>
          </cell>
          <cell r="O34">
            <v>50533</v>
          </cell>
          <cell r="P34">
            <v>50675</v>
          </cell>
          <cell r="T34">
            <v>31</v>
          </cell>
          <cell r="U34" t="str">
            <v>Residential</v>
          </cell>
          <cell r="V34"/>
          <cell r="W34"/>
          <cell r="X34">
            <v>47631</v>
          </cell>
          <cell r="Y34">
            <v>47736</v>
          </cell>
          <cell r="Z34">
            <v>47824</v>
          </cell>
          <cell r="AA34">
            <v>47887</v>
          </cell>
          <cell r="AB34">
            <v>47887</v>
          </cell>
          <cell r="AC34">
            <v>47859</v>
          </cell>
          <cell r="AD34">
            <v>47832</v>
          </cell>
          <cell r="AE34">
            <v>47838</v>
          </cell>
          <cell r="AF34">
            <v>47875</v>
          </cell>
          <cell r="AG34">
            <v>47935</v>
          </cell>
          <cell r="AH34">
            <v>48030</v>
          </cell>
          <cell r="AI34">
            <v>48171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4075</v>
          </cell>
          <cell r="F35">
            <v>4080</v>
          </cell>
          <cell r="G35">
            <v>4086</v>
          </cell>
          <cell r="H35">
            <v>4085</v>
          </cell>
          <cell r="I35">
            <v>4074</v>
          </cell>
          <cell r="J35">
            <v>4060</v>
          </cell>
          <cell r="K35">
            <v>4048</v>
          </cell>
          <cell r="L35">
            <v>4038</v>
          </cell>
          <cell r="M35">
            <v>4029</v>
          </cell>
          <cell r="N35">
            <v>4022</v>
          </cell>
          <cell r="O35">
            <v>4023</v>
          </cell>
          <cell r="P35">
            <v>4030</v>
          </cell>
          <cell r="T35">
            <v>32</v>
          </cell>
          <cell r="U35" t="str">
            <v>Commercial</v>
          </cell>
          <cell r="V35"/>
          <cell r="W35"/>
          <cell r="X35">
            <v>3994</v>
          </cell>
          <cell r="Y35">
            <v>3998</v>
          </cell>
          <cell r="Z35">
            <v>4001</v>
          </cell>
          <cell r="AA35">
            <v>3996</v>
          </cell>
          <cell r="AB35">
            <v>3981</v>
          </cell>
          <cell r="AC35">
            <v>3968</v>
          </cell>
          <cell r="AD35">
            <v>3955</v>
          </cell>
          <cell r="AE35">
            <v>3946</v>
          </cell>
          <cell r="AF35">
            <v>3939</v>
          </cell>
          <cell r="AG35">
            <v>3932</v>
          </cell>
          <cell r="AH35">
            <v>3933</v>
          </cell>
          <cell r="AI35">
            <v>3941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88</v>
          </cell>
          <cell r="F36">
            <v>89</v>
          </cell>
          <cell r="G36">
            <v>89</v>
          </cell>
          <cell r="H36">
            <v>89</v>
          </cell>
          <cell r="I36">
            <v>89</v>
          </cell>
          <cell r="J36">
            <v>90</v>
          </cell>
          <cell r="K36">
            <v>90</v>
          </cell>
          <cell r="L36">
            <v>90</v>
          </cell>
          <cell r="M36">
            <v>90</v>
          </cell>
          <cell r="N36">
            <v>91</v>
          </cell>
          <cell r="O36">
            <v>91</v>
          </cell>
          <cell r="P36">
            <v>91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87</v>
          </cell>
          <cell r="Y36">
            <v>87</v>
          </cell>
          <cell r="Z36">
            <v>87</v>
          </cell>
          <cell r="AA36">
            <v>87</v>
          </cell>
          <cell r="AB36">
            <v>88</v>
          </cell>
          <cell r="AC36">
            <v>87</v>
          </cell>
          <cell r="AD36">
            <v>87</v>
          </cell>
          <cell r="AE36">
            <v>87</v>
          </cell>
          <cell r="AF36">
            <v>87</v>
          </cell>
          <cell r="AG36">
            <v>87</v>
          </cell>
          <cell r="AH36">
            <v>87</v>
          </cell>
          <cell r="AI36">
            <v>88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5</v>
          </cell>
          <cell r="F37">
            <v>6</v>
          </cell>
          <cell r="G37">
            <v>6</v>
          </cell>
          <cell r="H37">
            <v>6</v>
          </cell>
          <cell r="I37">
            <v>6</v>
          </cell>
          <cell r="J37">
            <v>5</v>
          </cell>
          <cell r="K37">
            <v>5</v>
          </cell>
          <cell r="L37">
            <v>5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V37"/>
          <cell r="W37"/>
          <cell r="X37">
            <v>5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6</v>
          </cell>
          <cell r="AD37">
            <v>6</v>
          </cell>
          <cell r="AE37">
            <v>5</v>
          </cell>
          <cell r="AF37">
            <v>5</v>
          </cell>
          <cell r="AG37">
            <v>5</v>
          </cell>
          <cell r="AH37">
            <v>4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54301</v>
          </cell>
          <cell r="F38">
            <v>54401</v>
          </cell>
          <cell r="G38">
            <v>54464</v>
          </cell>
          <cell r="H38">
            <v>54514</v>
          </cell>
          <cell r="I38">
            <v>54513</v>
          </cell>
          <cell r="J38">
            <v>54493</v>
          </cell>
          <cell r="K38">
            <v>54473</v>
          </cell>
          <cell r="L38">
            <v>54469</v>
          </cell>
          <cell r="M38">
            <v>54491</v>
          </cell>
          <cell r="N38">
            <v>54540</v>
          </cell>
          <cell r="O38">
            <v>54652</v>
          </cell>
          <cell r="P38">
            <v>54801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51717</v>
          </cell>
          <cell r="Y38">
            <v>51826</v>
          </cell>
          <cell r="Z38">
            <v>51917</v>
          </cell>
          <cell r="AA38">
            <v>51975</v>
          </cell>
          <cell r="AB38">
            <v>51961</v>
          </cell>
          <cell r="AC38">
            <v>51920</v>
          </cell>
          <cell r="AD38">
            <v>51880</v>
          </cell>
          <cell r="AE38">
            <v>51876</v>
          </cell>
          <cell r="AF38">
            <v>51906</v>
          </cell>
          <cell r="AG38">
            <v>51959</v>
          </cell>
          <cell r="AH38">
            <v>52054</v>
          </cell>
          <cell r="AI38">
            <v>52205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703234</v>
          </cell>
          <cell r="F41">
            <v>1242403</v>
          </cell>
          <cell r="G41">
            <v>1678465</v>
          </cell>
          <cell r="H41">
            <v>2055617</v>
          </cell>
          <cell r="I41">
            <v>2194246</v>
          </cell>
          <cell r="J41">
            <v>2250134</v>
          </cell>
          <cell r="K41">
            <v>2297201</v>
          </cell>
          <cell r="L41">
            <v>2337952</v>
          </cell>
          <cell r="M41">
            <v>2381155</v>
          </cell>
          <cell r="N41">
            <v>2441863</v>
          </cell>
          <cell r="O41">
            <v>2657912</v>
          </cell>
          <cell r="P41">
            <v>3123423</v>
          </cell>
          <cell r="T41">
            <v>38</v>
          </cell>
          <cell r="U41" t="str">
            <v>Residential</v>
          </cell>
          <cell r="W41"/>
          <cell r="X41">
            <v>532570</v>
          </cell>
          <cell r="Y41">
            <v>965217</v>
          </cell>
          <cell r="Z41">
            <v>1356136</v>
          </cell>
          <cell r="AA41">
            <v>1623971</v>
          </cell>
          <cell r="AB41">
            <v>1723826</v>
          </cell>
          <cell r="AC41">
            <v>1788102</v>
          </cell>
          <cell r="AD41">
            <v>1833217</v>
          </cell>
          <cell r="AE41">
            <v>1875592</v>
          </cell>
          <cell r="AF41">
            <v>1920718</v>
          </cell>
          <cell r="AG41">
            <v>1971513</v>
          </cell>
          <cell r="AH41">
            <v>2134733</v>
          </cell>
          <cell r="AI41">
            <v>2512861</v>
          </cell>
        </row>
        <row r="42">
          <cell r="A42">
            <v>39</v>
          </cell>
          <cell r="B42" t="str">
            <v>Commercial</v>
          </cell>
          <cell r="D42"/>
          <cell r="E42">
            <v>469375</v>
          </cell>
          <cell r="F42">
            <v>800822</v>
          </cell>
          <cell r="G42">
            <v>1127276</v>
          </cell>
          <cell r="H42">
            <v>1359597</v>
          </cell>
          <cell r="I42">
            <v>1473696</v>
          </cell>
          <cell r="J42">
            <v>1561084</v>
          </cell>
          <cell r="K42">
            <v>1634923</v>
          </cell>
          <cell r="L42">
            <v>1712697</v>
          </cell>
          <cell r="M42">
            <v>1789537</v>
          </cell>
          <cell r="N42">
            <v>1896703</v>
          </cell>
          <cell r="O42">
            <v>2105668</v>
          </cell>
          <cell r="P42">
            <v>2413774</v>
          </cell>
          <cell r="T42">
            <v>39</v>
          </cell>
          <cell r="U42" t="str">
            <v>Commercial</v>
          </cell>
          <cell r="W42"/>
          <cell r="X42">
            <v>330553</v>
          </cell>
          <cell r="Y42">
            <v>612942</v>
          </cell>
          <cell r="Z42">
            <v>894280</v>
          </cell>
          <cell r="AA42">
            <v>1056090</v>
          </cell>
          <cell r="AB42">
            <v>1161087</v>
          </cell>
          <cell r="AC42">
            <v>1251520</v>
          </cell>
          <cell r="AD42">
            <v>1321924</v>
          </cell>
          <cell r="AE42">
            <v>1399199</v>
          </cell>
          <cell r="AF42">
            <v>1483849</v>
          </cell>
          <cell r="AG42">
            <v>1576061</v>
          </cell>
          <cell r="AH42">
            <v>1741820</v>
          </cell>
          <cell r="AI42">
            <v>2015952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321487</v>
          </cell>
          <cell r="F43">
            <v>594536</v>
          </cell>
          <cell r="G43">
            <v>893466</v>
          </cell>
          <cell r="H43">
            <v>1161309</v>
          </cell>
          <cell r="I43">
            <v>1406341</v>
          </cell>
          <cell r="J43">
            <v>1640760</v>
          </cell>
          <cell r="K43">
            <v>1856470</v>
          </cell>
          <cell r="L43">
            <v>2095114</v>
          </cell>
          <cell r="M43">
            <v>2327074</v>
          </cell>
          <cell r="N43">
            <v>2612019</v>
          </cell>
          <cell r="O43">
            <v>2894405</v>
          </cell>
          <cell r="P43">
            <v>3195092</v>
          </cell>
          <cell r="T43">
            <v>40</v>
          </cell>
          <cell r="U43" t="str">
            <v xml:space="preserve">Industrial </v>
          </cell>
          <cell r="W43"/>
          <cell r="X43">
            <v>280946</v>
          </cell>
          <cell r="Y43">
            <v>542275</v>
          </cell>
          <cell r="Z43">
            <v>830829</v>
          </cell>
          <cell r="AA43">
            <v>1057568</v>
          </cell>
          <cell r="AB43">
            <v>1299037</v>
          </cell>
          <cell r="AC43">
            <v>1535841</v>
          </cell>
          <cell r="AD43">
            <v>1726532</v>
          </cell>
          <cell r="AE43">
            <v>1950147</v>
          </cell>
          <cell r="AF43">
            <v>2213536</v>
          </cell>
          <cell r="AG43">
            <v>2480932</v>
          </cell>
          <cell r="AH43">
            <v>2719005</v>
          </cell>
          <cell r="AI43">
            <v>2974686</v>
          </cell>
        </row>
        <row r="44">
          <cell r="A44">
            <v>41</v>
          </cell>
          <cell r="B44" t="str">
            <v>Other</v>
          </cell>
          <cell r="D44"/>
          <cell r="E44">
            <v>4163</v>
          </cell>
          <cell r="F44">
            <v>7697</v>
          </cell>
          <cell r="G44">
            <v>11965</v>
          </cell>
          <cell r="H44">
            <v>16780</v>
          </cell>
          <cell r="I44">
            <v>23251</v>
          </cell>
          <cell r="J44">
            <v>28998</v>
          </cell>
          <cell r="K44">
            <v>37391</v>
          </cell>
          <cell r="L44">
            <v>46677</v>
          </cell>
          <cell r="M44">
            <v>54530</v>
          </cell>
          <cell r="N44">
            <v>63074</v>
          </cell>
          <cell r="O44">
            <v>69808</v>
          </cell>
          <cell r="P44">
            <v>76915</v>
          </cell>
          <cell r="T44">
            <v>41</v>
          </cell>
          <cell r="U44" t="str">
            <v>Other</v>
          </cell>
          <cell r="W44"/>
          <cell r="X44">
            <v>3839</v>
          </cell>
          <cell r="Y44">
            <v>6464</v>
          </cell>
          <cell r="Z44">
            <v>10045</v>
          </cell>
          <cell r="AA44">
            <v>13696</v>
          </cell>
          <cell r="AB44">
            <v>19078</v>
          </cell>
          <cell r="AC44">
            <v>29393</v>
          </cell>
          <cell r="AD44">
            <v>40604</v>
          </cell>
          <cell r="AE44">
            <v>55431</v>
          </cell>
          <cell r="AF44">
            <v>63349</v>
          </cell>
          <cell r="AG44">
            <v>75595</v>
          </cell>
          <cell r="AH44">
            <v>84884</v>
          </cell>
          <cell r="AI44">
            <v>91114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1498259</v>
          </cell>
          <cell r="F45">
            <v>2645458</v>
          </cell>
          <cell r="G45">
            <v>3711172</v>
          </cell>
          <cell r="H45">
            <v>4593303</v>
          </cell>
          <cell r="I45">
            <v>5097534</v>
          </cell>
          <cell r="J45">
            <v>5480976</v>
          </cell>
          <cell r="K45">
            <v>5825985</v>
          </cell>
          <cell r="L45">
            <v>6192440</v>
          </cell>
          <cell r="M45">
            <v>6552296</v>
          </cell>
          <cell r="N45">
            <v>7013659</v>
          </cell>
          <cell r="O45">
            <v>7727793</v>
          </cell>
          <cell r="P45">
            <v>8809204</v>
          </cell>
          <cell r="T45">
            <v>42</v>
          </cell>
          <cell r="U45" t="str">
            <v>Total Volume</v>
          </cell>
          <cell r="V45"/>
          <cell r="W45"/>
          <cell r="X45">
            <v>1147908</v>
          </cell>
          <cell r="Y45">
            <v>2126898</v>
          </cell>
          <cell r="Z45">
            <v>3091290</v>
          </cell>
          <cell r="AA45">
            <v>3751325</v>
          </cell>
          <cell r="AB45">
            <v>4203028</v>
          </cell>
          <cell r="AC45">
            <v>4604856</v>
          </cell>
          <cell r="AD45">
            <v>4922277</v>
          </cell>
          <cell r="AE45">
            <v>5280369</v>
          </cell>
          <cell r="AF45">
            <v>5681452</v>
          </cell>
          <cell r="AG45">
            <v>6104101</v>
          </cell>
          <cell r="AH45">
            <v>6680442</v>
          </cell>
          <cell r="AI45">
            <v>7594613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738224</v>
          </cell>
          <cell r="F48">
            <v>1302162</v>
          </cell>
          <cell r="G48">
            <v>1758547</v>
          </cell>
          <cell r="H48">
            <v>2151776</v>
          </cell>
          <cell r="I48">
            <v>2296327</v>
          </cell>
          <cell r="J48">
            <v>2354603</v>
          </cell>
          <cell r="K48">
            <v>2403798</v>
          </cell>
          <cell r="L48">
            <v>2446248</v>
          </cell>
          <cell r="M48">
            <v>2491376</v>
          </cell>
          <cell r="N48">
            <v>2554527</v>
          </cell>
          <cell r="O48">
            <v>2779537</v>
          </cell>
          <cell r="P48">
            <v>3265018</v>
          </cell>
          <cell r="T48">
            <v>45</v>
          </cell>
          <cell r="U48" t="str">
            <v>Residential</v>
          </cell>
          <cell r="W48"/>
          <cell r="X48">
            <v>559342</v>
          </cell>
          <cell r="Y48">
            <v>1013150</v>
          </cell>
          <cell r="Z48">
            <v>1422868</v>
          </cell>
          <cell r="AA48">
            <v>1702999</v>
          </cell>
          <cell r="AB48">
            <v>1807304</v>
          </cell>
          <cell r="AC48">
            <v>1874444</v>
          </cell>
          <cell r="AD48">
            <v>1921735</v>
          </cell>
          <cell r="AE48">
            <v>1965969</v>
          </cell>
          <cell r="AF48">
            <v>2013215</v>
          </cell>
          <cell r="AG48">
            <v>2066506</v>
          </cell>
          <cell r="AH48">
            <v>2237783</v>
          </cell>
          <cell r="AI48">
            <v>2635109</v>
          </cell>
        </row>
        <row r="49">
          <cell r="A49">
            <v>46</v>
          </cell>
          <cell r="B49" t="str">
            <v>Commercial</v>
          </cell>
          <cell r="D49"/>
          <cell r="E49">
            <v>492729</v>
          </cell>
          <cell r="F49">
            <v>839403</v>
          </cell>
          <cell r="G49">
            <v>1181072</v>
          </cell>
          <cell r="H49">
            <v>1423296</v>
          </cell>
          <cell r="I49">
            <v>1542269</v>
          </cell>
          <cell r="J49">
            <v>1633390</v>
          </cell>
          <cell r="K49">
            <v>1710567</v>
          </cell>
          <cell r="L49">
            <v>1791584</v>
          </cell>
          <cell r="M49">
            <v>1871848</v>
          </cell>
          <cell r="N49">
            <v>1983327</v>
          </cell>
          <cell r="O49">
            <v>2200959</v>
          </cell>
          <cell r="P49">
            <v>2522283</v>
          </cell>
          <cell r="T49">
            <v>46</v>
          </cell>
          <cell r="U49" t="str">
            <v>Commercial</v>
          </cell>
          <cell r="W49"/>
          <cell r="X49">
            <v>347170</v>
          </cell>
          <cell r="Y49">
            <v>643371</v>
          </cell>
          <cell r="Z49">
            <v>938239</v>
          </cell>
          <cell r="AA49">
            <v>1107478</v>
          </cell>
          <cell r="AB49">
            <v>1217154</v>
          </cell>
          <cell r="AC49">
            <v>1311617</v>
          </cell>
          <cell r="AD49">
            <v>1385417</v>
          </cell>
          <cell r="AE49">
            <v>1466081</v>
          </cell>
          <cell r="AF49">
            <v>1554707</v>
          </cell>
          <cell r="AG49">
            <v>1651450</v>
          </cell>
          <cell r="AH49">
            <v>1825391</v>
          </cell>
          <cell r="AI49">
            <v>2113441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337483</v>
          </cell>
          <cell r="F50">
            <v>623076</v>
          </cell>
          <cell r="G50">
            <v>935938</v>
          </cell>
          <cell r="H50">
            <v>1215199</v>
          </cell>
          <cell r="I50">
            <v>1470699</v>
          </cell>
          <cell r="J50">
            <v>1715133</v>
          </cell>
          <cell r="K50">
            <v>1940596</v>
          </cell>
          <cell r="L50">
            <v>2189191</v>
          </cell>
          <cell r="M50">
            <v>2431487</v>
          </cell>
          <cell r="N50">
            <v>2727899</v>
          </cell>
          <cell r="O50">
            <v>3021997</v>
          </cell>
          <cell r="P50">
            <v>3335583</v>
          </cell>
          <cell r="T50">
            <v>47</v>
          </cell>
          <cell r="U50" t="str">
            <v xml:space="preserve">Industrial </v>
          </cell>
          <cell r="W50"/>
          <cell r="X50">
            <v>295069</v>
          </cell>
          <cell r="Y50">
            <v>569180</v>
          </cell>
          <cell r="Z50">
            <v>871611</v>
          </cell>
          <cell r="AA50">
            <v>1108760</v>
          </cell>
          <cell r="AB50">
            <v>1360989</v>
          </cell>
          <cell r="AC50">
            <v>1608345</v>
          </cell>
          <cell r="AD50">
            <v>1808233</v>
          </cell>
          <cell r="AE50">
            <v>2041656</v>
          </cell>
          <cell r="AF50">
            <v>2317416</v>
          </cell>
          <cell r="AG50">
            <v>2597952</v>
          </cell>
          <cell r="AH50">
            <v>2847776</v>
          </cell>
          <cell r="AI50">
            <v>3116438</v>
          </cell>
        </row>
        <row r="51">
          <cell r="A51">
            <v>48</v>
          </cell>
          <cell r="B51" t="str">
            <v>Other</v>
          </cell>
          <cell r="D51"/>
          <cell r="E51">
            <v>4370</v>
          </cell>
          <cell r="F51">
            <v>8066</v>
          </cell>
          <cell r="G51">
            <v>12533</v>
          </cell>
          <cell r="H51">
            <v>17553</v>
          </cell>
          <cell r="I51">
            <v>24300</v>
          </cell>
          <cell r="J51">
            <v>30293</v>
          </cell>
          <cell r="K51">
            <v>39065</v>
          </cell>
          <cell r="L51">
            <v>48738</v>
          </cell>
          <cell r="M51">
            <v>56941</v>
          </cell>
          <cell r="N51">
            <v>65829</v>
          </cell>
          <cell r="O51">
            <v>72842</v>
          </cell>
          <cell r="P51">
            <v>80254</v>
          </cell>
          <cell r="T51">
            <v>48</v>
          </cell>
          <cell r="U51" t="str">
            <v>Other</v>
          </cell>
          <cell r="W51"/>
          <cell r="X51">
            <v>4032</v>
          </cell>
          <cell r="Y51">
            <v>6785</v>
          </cell>
          <cell r="Z51">
            <v>10538</v>
          </cell>
          <cell r="AA51">
            <v>14357</v>
          </cell>
          <cell r="AB51">
            <v>19979</v>
          </cell>
          <cell r="AC51">
            <v>30754</v>
          </cell>
          <cell r="AD51">
            <v>42506</v>
          </cell>
          <cell r="AE51">
            <v>57983</v>
          </cell>
          <cell r="AF51">
            <v>66273</v>
          </cell>
          <cell r="AG51">
            <v>79121</v>
          </cell>
          <cell r="AH51">
            <v>88869</v>
          </cell>
          <cell r="AI51">
            <v>95415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1572806</v>
          </cell>
          <cell r="F52">
            <v>2772707</v>
          </cell>
          <cell r="G52">
            <v>3888090</v>
          </cell>
          <cell r="H52">
            <v>4807824</v>
          </cell>
          <cell r="I52">
            <v>5333595</v>
          </cell>
          <cell r="J52">
            <v>5733419</v>
          </cell>
          <cell r="K52">
            <v>6094026</v>
          </cell>
          <cell r="L52">
            <v>6475761</v>
          </cell>
          <cell r="M52">
            <v>6851652</v>
          </cell>
          <cell r="N52">
            <v>7331582</v>
          </cell>
          <cell r="O52">
            <v>8075335</v>
          </cell>
          <cell r="P52">
            <v>9203138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1205613</v>
          </cell>
          <cell r="Y52">
            <v>2232486</v>
          </cell>
          <cell r="Z52">
            <v>3243256</v>
          </cell>
          <cell r="AA52">
            <v>3933594</v>
          </cell>
          <cell r="AB52">
            <v>4405426</v>
          </cell>
          <cell r="AC52">
            <v>4825160</v>
          </cell>
          <cell r="AD52">
            <v>5157891</v>
          </cell>
          <cell r="AE52">
            <v>5531689</v>
          </cell>
          <cell r="AF52">
            <v>5951611</v>
          </cell>
          <cell r="AG52">
            <v>6395029</v>
          </cell>
          <cell r="AH52">
            <v>6999819</v>
          </cell>
          <cell r="AI52">
            <v>7960403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54142</v>
          </cell>
          <cell r="F55">
            <v>54226</v>
          </cell>
          <cell r="G55">
            <v>54300</v>
          </cell>
          <cell r="H55">
            <v>54354</v>
          </cell>
          <cell r="I55">
            <v>54376</v>
          </cell>
          <cell r="J55">
            <v>54041</v>
          </cell>
          <cell r="K55">
            <v>53815</v>
          </cell>
          <cell r="L55">
            <v>53661</v>
          </cell>
          <cell r="M55">
            <v>53551</v>
          </cell>
          <cell r="N55">
            <v>53725</v>
          </cell>
          <cell r="O55">
            <v>53914</v>
          </cell>
          <cell r="P55">
            <v>54109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1215129.336468203</v>
          </cell>
          <cell r="F56">
            <v>2381255.0409053317</v>
          </cell>
          <cell r="G56">
            <v>3458285.2003609259</v>
          </cell>
          <cell r="H56">
            <v>4194907.7163811149</v>
          </cell>
          <cell r="I56">
            <v>4695322.7969553545</v>
          </cell>
          <cell r="J56">
            <v>5123947.3641706659</v>
          </cell>
          <cell r="K56">
            <v>5474206.833403483</v>
          </cell>
          <cell r="L56">
            <v>5835480.0587242348</v>
          </cell>
          <cell r="M56">
            <v>6249495.2010231577</v>
          </cell>
          <cell r="N56">
            <v>6745263.4658816373</v>
          </cell>
          <cell r="O56">
            <v>7387629.0726773851</v>
          </cell>
          <cell r="P56">
            <v>8395618.6721957531</v>
          </cell>
        </row>
        <row r="57">
          <cell r="A57">
            <v>54</v>
          </cell>
          <cell r="B57" t="str">
            <v>Cumulative YTD Budget Volume (Dts) * 1.035</v>
          </cell>
          <cell r="E57">
            <v>1257658.8632445901</v>
          </cell>
          <cell r="F57">
            <v>2464598.9673370183</v>
          </cell>
          <cell r="G57">
            <v>3579325.1823735582</v>
          </cell>
          <cell r="H57">
            <v>4341729.4864544543</v>
          </cell>
          <cell r="I57">
            <v>4859659.094848793</v>
          </cell>
          <cell r="J57">
            <v>5303285.52191664</v>
          </cell>
          <cell r="K57">
            <v>5665804.0725726057</v>
          </cell>
          <cell r="L57">
            <v>6039721.8607795835</v>
          </cell>
          <cell r="M57">
            <v>6468227.5330589693</v>
          </cell>
          <cell r="N57">
            <v>6981347.6871874956</v>
          </cell>
          <cell r="O57">
            <v>7646196.0902210949</v>
          </cell>
          <cell r="P57">
            <v>8689465.3257226069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11031.5</v>
          </cell>
          <cell r="E5">
            <v>11277</v>
          </cell>
          <cell r="F5">
            <v>11332</v>
          </cell>
          <cell r="G5">
            <v>11301</v>
          </cell>
          <cell r="H5">
            <v>11229</v>
          </cell>
          <cell r="I5">
            <v>11065</v>
          </cell>
          <cell r="J5">
            <v>10853</v>
          </cell>
          <cell r="K5">
            <v>10796</v>
          </cell>
          <cell r="L5">
            <v>10778</v>
          </cell>
          <cell r="M5">
            <v>10763</v>
          </cell>
          <cell r="N5">
            <v>10775</v>
          </cell>
          <cell r="O5">
            <v>10993</v>
          </cell>
          <cell r="P5">
            <v>11216</v>
          </cell>
          <cell r="T5">
            <v>2</v>
          </cell>
          <cell r="U5" t="str">
            <v>Residential</v>
          </cell>
          <cell r="V5">
            <v>11000</v>
          </cell>
          <cell r="W5">
            <v>131994</v>
          </cell>
          <cell r="X5">
            <v>11291</v>
          </cell>
          <cell r="Y5">
            <v>11334</v>
          </cell>
          <cell r="Z5">
            <v>11302</v>
          </cell>
          <cell r="AA5">
            <v>11219</v>
          </cell>
          <cell r="AB5">
            <v>11058</v>
          </cell>
          <cell r="AC5">
            <v>10856</v>
          </cell>
          <cell r="AD5">
            <v>10737</v>
          </cell>
          <cell r="AE5">
            <v>10720</v>
          </cell>
          <cell r="AF5">
            <v>10691</v>
          </cell>
          <cell r="AG5">
            <v>10732</v>
          </cell>
          <cell r="AH5">
            <v>10897</v>
          </cell>
          <cell r="AI5">
            <v>11157</v>
          </cell>
        </row>
        <row r="6">
          <cell r="A6">
            <v>3</v>
          </cell>
          <cell r="B6" t="str">
            <v>Commercial</v>
          </cell>
          <cell r="C6"/>
          <cell r="D6">
            <v>1873.8333333333333</v>
          </cell>
          <cell r="E6">
            <v>1888</v>
          </cell>
          <cell r="F6">
            <v>1900</v>
          </cell>
          <cell r="G6">
            <v>1905</v>
          </cell>
          <cell r="H6">
            <v>1901</v>
          </cell>
          <cell r="I6">
            <v>1880</v>
          </cell>
          <cell r="J6">
            <v>1852</v>
          </cell>
          <cell r="K6">
            <v>1837</v>
          </cell>
          <cell r="L6">
            <v>1852</v>
          </cell>
          <cell r="M6">
            <v>1844</v>
          </cell>
          <cell r="N6">
            <v>1853</v>
          </cell>
          <cell r="O6">
            <v>1883</v>
          </cell>
          <cell r="P6">
            <v>1891</v>
          </cell>
          <cell r="T6">
            <v>3</v>
          </cell>
          <cell r="U6" t="str">
            <v>Commercial</v>
          </cell>
          <cell r="V6">
            <v>1845</v>
          </cell>
          <cell r="W6">
            <v>22136</v>
          </cell>
          <cell r="X6">
            <v>1876</v>
          </cell>
          <cell r="Y6">
            <v>1871</v>
          </cell>
          <cell r="Z6">
            <v>1876</v>
          </cell>
          <cell r="AA6">
            <v>1874</v>
          </cell>
          <cell r="AB6">
            <v>1837</v>
          </cell>
          <cell r="AC6">
            <v>1813</v>
          </cell>
          <cell r="AD6">
            <v>1816</v>
          </cell>
          <cell r="AE6">
            <v>1812</v>
          </cell>
          <cell r="AF6">
            <v>1813</v>
          </cell>
          <cell r="AG6">
            <v>1812</v>
          </cell>
          <cell r="AH6">
            <v>1849</v>
          </cell>
          <cell r="AI6">
            <v>1887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44.333333333333336</v>
          </cell>
          <cell r="E7">
            <v>44</v>
          </cell>
          <cell r="F7">
            <v>44</v>
          </cell>
          <cell r="G7">
            <v>44</v>
          </cell>
          <cell r="H7">
            <v>44</v>
          </cell>
          <cell r="I7">
            <v>44</v>
          </cell>
          <cell r="J7">
            <v>44</v>
          </cell>
          <cell r="K7">
            <v>48</v>
          </cell>
          <cell r="L7">
            <v>44</v>
          </cell>
          <cell r="M7">
            <v>44</v>
          </cell>
          <cell r="N7">
            <v>44</v>
          </cell>
          <cell r="O7">
            <v>44</v>
          </cell>
          <cell r="P7">
            <v>44</v>
          </cell>
          <cell r="T7">
            <v>4</v>
          </cell>
          <cell r="U7" t="str">
            <v xml:space="preserve">Industrial </v>
          </cell>
          <cell r="V7">
            <v>41</v>
          </cell>
          <cell r="W7">
            <v>496</v>
          </cell>
          <cell r="X7">
            <v>40</v>
          </cell>
          <cell r="Y7">
            <v>40</v>
          </cell>
          <cell r="Z7">
            <v>41</v>
          </cell>
          <cell r="AA7">
            <v>40</v>
          </cell>
          <cell r="AB7">
            <v>40</v>
          </cell>
          <cell r="AC7">
            <v>40</v>
          </cell>
          <cell r="AD7">
            <v>41</v>
          </cell>
          <cell r="AE7">
            <v>41</v>
          </cell>
          <cell r="AF7">
            <v>42</v>
          </cell>
          <cell r="AG7">
            <v>43</v>
          </cell>
          <cell r="AH7">
            <v>44</v>
          </cell>
          <cell r="AI7">
            <v>44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12949.666666666668</v>
          </cell>
          <cell r="E9">
            <v>13209</v>
          </cell>
          <cell r="F9">
            <v>13276</v>
          </cell>
          <cell r="G9">
            <v>13250</v>
          </cell>
          <cell r="H9">
            <v>13174</v>
          </cell>
          <cell r="I9">
            <v>12989</v>
          </cell>
          <cell r="J9">
            <v>12749</v>
          </cell>
          <cell r="K9">
            <v>12681</v>
          </cell>
          <cell r="L9">
            <v>12674</v>
          </cell>
          <cell r="M9">
            <v>12651</v>
          </cell>
          <cell r="N9">
            <v>12672</v>
          </cell>
          <cell r="O9">
            <v>12920</v>
          </cell>
          <cell r="P9">
            <v>13151</v>
          </cell>
          <cell r="T9">
            <v>6</v>
          </cell>
          <cell r="U9" t="str">
            <v>Total customers</v>
          </cell>
          <cell r="V9">
            <v>12886</v>
          </cell>
          <cell r="W9">
            <v>154626</v>
          </cell>
          <cell r="X9">
            <v>13207</v>
          </cell>
          <cell r="Y9">
            <v>13245</v>
          </cell>
          <cell r="Z9">
            <v>13219</v>
          </cell>
          <cell r="AA9">
            <v>13133</v>
          </cell>
          <cell r="AB9">
            <v>12935</v>
          </cell>
          <cell r="AC9">
            <v>12709</v>
          </cell>
          <cell r="AD9">
            <v>12594</v>
          </cell>
          <cell r="AE9">
            <v>12573</v>
          </cell>
          <cell r="AF9">
            <v>12546</v>
          </cell>
          <cell r="AG9">
            <v>12587</v>
          </cell>
          <cell r="AH9">
            <v>12790</v>
          </cell>
          <cell r="AI9">
            <v>13088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- 2018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562939</v>
          </cell>
          <cell r="D12"/>
          <cell r="E12">
            <v>132506</v>
          </cell>
          <cell r="F12">
            <v>96748</v>
          </cell>
          <cell r="G12">
            <v>81012</v>
          </cell>
          <cell r="H12">
            <v>70027</v>
          </cell>
          <cell r="I12">
            <v>25704</v>
          </cell>
          <cell r="J12">
            <v>9614</v>
          </cell>
          <cell r="K12">
            <v>8606</v>
          </cell>
          <cell r="L12">
            <v>7945</v>
          </cell>
          <cell r="M12">
            <v>7970</v>
          </cell>
          <cell r="N12">
            <v>11051</v>
          </cell>
          <cell r="O12">
            <v>36317</v>
          </cell>
          <cell r="P12">
            <v>75439</v>
          </cell>
          <cell r="T12">
            <v>9</v>
          </cell>
          <cell r="U12" t="str">
            <v>Residential</v>
          </cell>
          <cell r="W12">
            <v>479043.8</v>
          </cell>
          <cell r="X12">
            <v>99754</v>
          </cell>
          <cell r="Y12">
            <v>86359</v>
          </cell>
          <cell r="Z12">
            <v>68269</v>
          </cell>
          <cell r="AA12">
            <v>55953</v>
          </cell>
          <cell r="AB12">
            <v>18315</v>
          </cell>
          <cell r="AC12">
            <v>12836.8</v>
          </cell>
          <cell r="AD12">
            <v>9060</v>
          </cell>
          <cell r="AE12">
            <v>8414</v>
          </cell>
          <cell r="AF12">
            <v>9029</v>
          </cell>
          <cell r="AG12">
            <v>10415</v>
          </cell>
          <cell r="AH12">
            <v>28797</v>
          </cell>
          <cell r="AI12">
            <v>71842</v>
          </cell>
        </row>
        <row r="13">
          <cell r="A13">
            <v>10</v>
          </cell>
          <cell r="B13" t="str">
            <v>Commercial</v>
          </cell>
          <cell r="C13">
            <v>869437</v>
          </cell>
          <cell r="D13"/>
          <cell r="E13">
            <v>160378</v>
          </cell>
          <cell r="F13">
            <v>115380</v>
          </cell>
          <cell r="G13">
            <v>113182</v>
          </cell>
          <cell r="H13">
            <v>85235</v>
          </cell>
          <cell r="I13">
            <v>45111</v>
          </cell>
          <cell r="J13">
            <v>32341</v>
          </cell>
          <cell r="K13">
            <v>30120</v>
          </cell>
          <cell r="L13">
            <v>32649</v>
          </cell>
          <cell r="M13">
            <v>30853</v>
          </cell>
          <cell r="N13">
            <v>42613</v>
          </cell>
          <cell r="O13">
            <v>73346</v>
          </cell>
          <cell r="P13">
            <v>108229</v>
          </cell>
          <cell r="T13">
            <v>10</v>
          </cell>
          <cell r="U13" t="str">
            <v>Commercial</v>
          </cell>
          <cell r="W13">
            <v>774911</v>
          </cell>
          <cell r="X13">
            <v>121684</v>
          </cell>
          <cell r="Y13">
            <v>109246</v>
          </cell>
          <cell r="Z13">
            <v>101719</v>
          </cell>
          <cell r="AA13">
            <v>69580</v>
          </cell>
          <cell r="AB13">
            <v>44117</v>
          </cell>
          <cell r="AC13">
            <v>39428</v>
          </cell>
          <cell r="AD13">
            <v>31739</v>
          </cell>
          <cell r="AE13">
            <v>33782</v>
          </cell>
          <cell r="AF13">
            <v>35271</v>
          </cell>
          <cell r="AG13">
            <v>40468</v>
          </cell>
          <cell r="AH13">
            <v>61915</v>
          </cell>
          <cell r="AI13">
            <v>85962</v>
          </cell>
        </row>
        <row r="14">
          <cell r="A14">
            <v>11</v>
          </cell>
          <cell r="B14" t="str">
            <v xml:space="preserve">Industrial </v>
          </cell>
          <cell r="C14">
            <v>1893278</v>
          </cell>
          <cell r="D14"/>
          <cell r="E14">
            <v>173051</v>
          </cell>
          <cell r="F14">
            <v>153884</v>
          </cell>
          <cell r="G14">
            <v>169989</v>
          </cell>
          <cell r="H14">
            <v>152998</v>
          </cell>
          <cell r="I14">
            <v>143680</v>
          </cell>
          <cell r="J14">
            <v>151497</v>
          </cell>
          <cell r="K14">
            <v>134847</v>
          </cell>
          <cell r="L14">
            <v>153262</v>
          </cell>
          <cell r="M14">
            <v>139779</v>
          </cell>
          <cell r="N14">
            <v>166843</v>
          </cell>
          <cell r="O14">
            <v>176902</v>
          </cell>
          <cell r="P14">
            <v>176546</v>
          </cell>
          <cell r="T14">
            <v>11</v>
          </cell>
          <cell r="U14" t="str">
            <v xml:space="preserve">Industrial </v>
          </cell>
          <cell r="W14">
            <v>1708693</v>
          </cell>
          <cell r="X14">
            <v>144498</v>
          </cell>
          <cell r="Y14">
            <v>135377</v>
          </cell>
          <cell r="Z14">
            <v>153792</v>
          </cell>
          <cell r="AA14">
            <v>127641</v>
          </cell>
          <cell r="AB14">
            <v>132505</v>
          </cell>
          <cell r="AC14">
            <v>135513</v>
          </cell>
          <cell r="AD14">
            <v>117517</v>
          </cell>
          <cell r="AE14">
            <v>147875</v>
          </cell>
          <cell r="AF14">
            <v>124575</v>
          </cell>
          <cell r="AG14">
            <v>151247</v>
          </cell>
          <cell r="AH14">
            <v>175588</v>
          </cell>
          <cell r="AI14">
            <v>162565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3325654</v>
          </cell>
          <cell r="D16"/>
          <cell r="E16">
            <v>465935</v>
          </cell>
          <cell r="F16">
            <v>366012</v>
          </cell>
          <cell r="G16">
            <v>364183</v>
          </cell>
          <cell r="H16">
            <v>308260</v>
          </cell>
          <cell r="I16">
            <v>214495</v>
          </cell>
          <cell r="J16">
            <v>193452</v>
          </cell>
          <cell r="K16">
            <v>173573</v>
          </cell>
          <cell r="L16">
            <v>193856</v>
          </cell>
          <cell r="M16">
            <v>178602</v>
          </cell>
          <cell r="N16">
            <v>220507</v>
          </cell>
          <cell r="O16">
            <v>286565</v>
          </cell>
          <cell r="P16">
            <v>360214</v>
          </cell>
          <cell r="T16">
            <v>13</v>
          </cell>
          <cell r="U16" t="str">
            <v>Total Deliveries</v>
          </cell>
          <cell r="V16"/>
          <cell r="W16">
            <v>2962647.8</v>
          </cell>
          <cell r="X16">
            <v>365936</v>
          </cell>
          <cell r="Y16">
            <v>330982</v>
          </cell>
          <cell r="Z16">
            <v>323780</v>
          </cell>
          <cell r="AA16">
            <v>253174</v>
          </cell>
          <cell r="AB16">
            <v>194937</v>
          </cell>
          <cell r="AC16">
            <v>187777.8</v>
          </cell>
          <cell r="AD16">
            <v>158316</v>
          </cell>
          <cell r="AE16">
            <v>190071</v>
          </cell>
          <cell r="AF16">
            <v>168875</v>
          </cell>
          <cell r="AG16">
            <v>202130</v>
          </cell>
          <cell r="AH16">
            <v>266300</v>
          </cell>
          <cell r="AI16">
            <v>320369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588539</v>
          </cell>
          <cell r="E21">
            <v>139099</v>
          </cell>
          <cell r="F21">
            <v>101193</v>
          </cell>
          <cell r="G21">
            <v>84788</v>
          </cell>
          <cell r="H21">
            <v>73012</v>
          </cell>
          <cell r="I21">
            <v>26802</v>
          </cell>
          <cell r="J21">
            <v>10055</v>
          </cell>
          <cell r="K21">
            <v>8995</v>
          </cell>
          <cell r="L21">
            <v>8276</v>
          </cell>
          <cell r="M21">
            <v>8325</v>
          </cell>
          <cell r="N21">
            <v>11496</v>
          </cell>
          <cell r="O21">
            <v>37823</v>
          </cell>
          <cell r="P21">
            <v>78675</v>
          </cell>
          <cell r="T21">
            <v>18</v>
          </cell>
          <cell r="U21" t="str">
            <v>Residential</v>
          </cell>
          <cell r="W21">
            <v>502370</v>
          </cell>
          <cell r="X21">
            <v>104769</v>
          </cell>
          <cell r="Y21">
            <v>90583</v>
          </cell>
          <cell r="Z21">
            <v>71552</v>
          </cell>
          <cell r="AA21">
            <v>58522</v>
          </cell>
          <cell r="AB21">
            <v>19131</v>
          </cell>
          <cell r="AC21">
            <v>13446</v>
          </cell>
          <cell r="AD21">
            <v>9497</v>
          </cell>
          <cell r="AE21">
            <v>8783</v>
          </cell>
          <cell r="AF21">
            <v>9453</v>
          </cell>
          <cell r="AG21">
            <v>10927</v>
          </cell>
          <cell r="AH21">
            <v>30218</v>
          </cell>
          <cell r="AI21">
            <v>75489</v>
          </cell>
        </row>
        <row r="22">
          <cell r="A22">
            <v>19</v>
          </cell>
          <cell r="B22" t="str">
            <v>Commercial</v>
          </cell>
          <cell r="D22">
            <v>908534</v>
          </cell>
          <cell r="E22">
            <v>168358</v>
          </cell>
          <cell r="F22">
            <v>120681</v>
          </cell>
          <cell r="G22">
            <v>118457</v>
          </cell>
          <cell r="H22">
            <v>88868</v>
          </cell>
          <cell r="I22">
            <v>47038</v>
          </cell>
          <cell r="J22">
            <v>33824</v>
          </cell>
          <cell r="K22">
            <v>31482</v>
          </cell>
          <cell r="L22">
            <v>34010</v>
          </cell>
          <cell r="M22">
            <v>32228</v>
          </cell>
          <cell r="N22">
            <v>44328</v>
          </cell>
          <cell r="O22">
            <v>76388</v>
          </cell>
          <cell r="P22">
            <v>112872</v>
          </cell>
          <cell r="T22">
            <v>19</v>
          </cell>
          <cell r="U22" t="str">
            <v>Commercial</v>
          </cell>
          <cell r="W22">
            <v>812373</v>
          </cell>
          <cell r="X22">
            <v>127801</v>
          </cell>
          <cell r="Y22">
            <v>114589</v>
          </cell>
          <cell r="Z22">
            <v>106611</v>
          </cell>
          <cell r="AA22">
            <v>72774</v>
          </cell>
          <cell r="AB22">
            <v>46083</v>
          </cell>
          <cell r="AC22">
            <v>41299</v>
          </cell>
          <cell r="AD22">
            <v>33270</v>
          </cell>
          <cell r="AE22">
            <v>35264</v>
          </cell>
          <cell r="AF22">
            <v>36928</v>
          </cell>
          <cell r="AG22">
            <v>42457</v>
          </cell>
          <cell r="AH22">
            <v>64971</v>
          </cell>
          <cell r="AI22">
            <v>90326</v>
          </cell>
        </row>
        <row r="23">
          <cell r="A23">
            <v>20</v>
          </cell>
          <cell r="B23" t="str">
            <v xml:space="preserve">Industrial </v>
          </cell>
          <cell r="D23">
            <v>1976827</v>
          </cell>
          <cell r="E23">
            <v>181661</v>
          </cell>
          <cell r="F23">
            <v>160953</v>
          </cell>
          <cell r="G23">
            <v>177912</v>
          </cell>
          <cell r="H23">
            <v>159520</v>
          </cell>
          <cell r="I23">
            <v>149818</v>
          </cell>
          <cell r="J23">
            <v>158443</v>
          </cell>
          <cell r="K23">
            <v>140944</v>
          </cell>
          <cell r="L23">
            <v>159653</v>
          </cell>
          <cell r="M23">
            <v>146007</v>
          </cell>
          <cell r="N23">
            <v>173557</v>
          </cell>
          <cell r="O23">
            <v>184239</v>
          </cell>
          <cell r="P23">
            <v>184120</v>
          </cell>
          <cell r="T23">
            <v>20</v>
          </cell>
          <cell r="U23" t="str">
            <v xml:space="preserve">Industrial </v>
          </cell>
          <cell r="W23">
            <v>1790526</v>
          </cell>
          <cell r="X23">
            <v>151762</v>
          </cell>
          <cell r="Y23">
            <v>141998</v>
          </cell>
          <cell r="Z23">
            <v>161188</v>
          </cell>
          <cell r="AA23">
            <v>133501</v>
          </cell>
          <cell r="AB23">
            <v>138409</v>
          </cell>
          <cell r="AC23">
            <v>141944</v>
          </cell>
          <cell r="AD23">
            <v>123185</v>
          </cell>
          <cell r="AE23">
            <v>154361</v>
          </cell>
          <cell r="AF23">
            <v>130426</v>
          </cell>
          <cell r="AG23">
            <v>158679</v>
          </cell>
          <cell r="AH23">
            <v>184255</v>
          </cell>
          <cell r="AI23">
            <v>170818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3473900</v>
          </cell>
          <cell r="E25">
            <v>489118</v>
          </cell>
          <cell r="F25">
            <v>382827</v>
          </cell>
          <cell r="G25">
            <v>381157</v>
          </cell>
          <cell r="H25">
            <v>321400</v>
          </cell>
          <cell r="I25">
            <v>223658</v>
          </cell>
          <cell r="J25">
            <v>202322</v>
          </cell>
          <cell r="K25">
            <v>181421</v>
          </cell>
          <cell r="L25">
            <v>201939</v>
          </cell>
          <cell r="M25">
            <v>186560</v>
          </cell>
          <cell r="N25">
            <v>229381</v>
          </cell>
          <cell r="O25">
            <v>298450</v>
          </cell>
          <cell r="P25">
            <v>375667</v>
          </cell>
          <cell r="T25">
            <v>22</v>
          </cell>
          <cell r="U25" t="str">
            <v>Total Deliveries</v>
          </cell>
          <cell r="V25"/>
          <cell r="W25">
            <v>3105269</v>
          </cell>
          <cell r="X25">
            <v>384332</v>
          </cell>
          <cell r="Y25">
            <v>347170</v>
          </cell>
          <cell r="Z25">
            <v>339351</v>
          </cell>
          <cell r="AA25">
            <v>264797</v>
          </cell>
          <cell r="AB25">
            <v>203623</v>
          </cell>
          <cell r="AC25">
            <v>196689</v>
          </cell>
          <cell r="AD25">
            <v>165952</v>
          </cell>
          <cell r="AE25">
            <v>198408</v>
          </cell>
          <cell r="AF25">
            <v>176807</v>
          </cell>
          <cell r="AG25">
            <v>212063</v>
          </cell>
          <cell r="AH25">
            <v>279444</v>
          </cell>
          <cell r="AI25">
            <v>336633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13376</v>
          </cell>
          <cell r="F28">
            <v>13455</v>
          </cell>
          <cell r="G28">
            <v>13452</v>
          </cell>
          <cell r="H28">
            <v>13408</v>
          </cell>
          <cell r="I28">
            <v>13192</v>
          </cell>
          <cell r="J28">
            <v>12750</v>
          </cell>
          <cell r="K28">
            <v>12583</v>
          </cell>
          <cell r="L28">
            <v>12571</v>
          </cell>
          <cell r="M28">
            <v>12561</v>
          </cell>
          <cell r="N28">
            <v>12652</v>
          </cell>
          <cell r="O28">
            <v>12991</v>
          </cell>
          <cell r="P28">
            <v>13352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399392.42059581354</v>
          </cell>
          <cell r="F29">
            <v>398687.68379901838</v>
          </cell>
          <cell r="G29">
            <v>378737.37518533424</v>
          </cell>
          <cell r="H29">
            <v>303423.73034443881</v>
          </cell>
          <cell r="I29">
            <v>242035.24934391421</v>
          </cell>
          <cell r="J29">
            <v>219181.29681334071</v>
          </cell>
          <cell r="K29">
            <v>189392.47461346057</v>
          </cell>
          <cell r="L29">
            <v>202855.69111671657</v>
          </cell>
          <cell r="M29">
            <v>220080.92077495361</v>
          </cell>
          <cell r="N29">
            <v>245291.80592185099</v>
          </cell>
          <cell r="O29">
            <v>276613.48675216327</v>
          </cell>
          <cell r="P29">
            <v>360914.825637181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413371.15531666699</v>
          </cell>
          <cell r="F30">
            <v>412641.75273198402</v>
          </cell>
          <cell r="G30">
            <v>391993.18331682088</v>
          </cell>
          <cell r="H30">
            <v>314043.56090649415</v>
          </cell>
          <cell r="I30">
            <v>250506.48307095119</v>
          </cell>
          <cell r="J30">
            <v>226852.64220180761</v>
          </cell>
          <cell r="K30">
            <v>196021.21122493167</v>
          </cell>
          <cell r="L30">
            <v>209955.64030580164</v>
          </cell>
          <cell r="M30">
            <v>227783.75300207696</v>
          </cell>
          <cell r="N30">
            <v>253877.01912911574</v>
          </cell>
          <cell r="O30">
            <v>286294.95878848893</v>
          </cell>
          <cell r="P30">
            <v>373546.84453448228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11277</v>
          </cell>
          <cell r="F34">
            <v>11305</v>
          </cell>
          <cell r="G34">
            <v>11303</v>
          </cell>
          <cell r="H34">
            <v>11285</v>
          </cell>
          <cell r="I34">
            <v>11241</v>
          </cell>
          <cell r="J34">
            <v>11176</v>
          </cell>
          <cell r="K34">
            <v>11122</v>
          </cell>
          <cell r="L34">
            <v>11079</v>
          </cell>
          <cell r="M34">
            <v>11044</v>
          </cell>
          <cell r="N34">
            <v>11017</v>
          </cell>
          <cell r="O34">
            <v>11015</v>
          </cell>
          <cell r="P34">
            <v>11032</v>
          </cell>
          <cell r="T34">
            <v>31</v>
          </cell>
          <cell r="U34" t="str">
            <v>Residential</v>
          </cell>
          <cell r="V34"/>
          <cell r="W34"/>
          <cell r="X34">
            <v>11291</v>
          </cell>
          <cell r="Y34">
            <v>11313</v>
          </cell>
          <cell r="Z34">
            <v>11309</v>
          </cell>
          <cell r="AA34">
            <v>11287</v>
          </cell>
          <cell r="AB34">
            <v>11241</v>
          </cell>
          <cell r="AC34">
            <v>11177</v>
          </cell>
          <cell r="AD34">
            <v>11114</v>
          </cell>
          <cell r="AE34">
            <v>11065</v>
          </cell>
          <cell r="AF34">
            <v>11023</v>
          </cell>
          <cell r="AG34">
            <v>10994</v>
          </cell>
          <cell r="AH34">
            <v>10985</v>
          </cell>
          <cell r="AI34">
            <v>11000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1888</v>
          </cell>
          <cell r="F35">
            <v>1894</v>
          </cell>
          <cell r="G35">
            <v>1898</v>
          </cell>
          <cell r="H35">
            <v>1899</v>
          </cell>
          <cell r="I35">
            <v>1895</v>
          </cell>
          <cell r="J35">
            <v>1888</v>
          </cell>
          <cell r="K35">
            <v>1880</v>
          </cell>
          <cell r="L35">
            <v>1877</v>
          </cell>
          <cell r="M35">
            <v>1873</v>
          </cell>
          <cell r="N35">
            <v>1871</v>
          </cell>
          <cell r="O35">
            <v>1872</v>
          </cell>
          <cell r="P35">
            <v>1874</v>
          </cell>
          <cell r="T35">
            <v>32</v>
          </cell>
          <cell r="U35" t="str">
            <v>Commercial</v>
          </cell>
          <cell r="V35"/>
          <cell r="W35"/>
          <cell r="X35">
            <v>1876</v>
          </cell>
          <cell r="Y35">
            <v>1874</v>
          </cell>
          <cell r="Z35">
            <v>1874</v>
          </cell>
          <cell r="AA35">
            <v>1874</v>
          </cell>
          <cell r="AB35">
            <v>1867</v>
          </cell>
          <cell r="AC35">
            <v>1858</v>
          </cell>
          <cell r="AD35">
            <v>1852</v>
          </cell>
          <cell r="AE35">
            <v>1847</v>
          </cell>
          <cell r="AF35">
            <v>1843</v>
          </cell>
          <cell r="AG35">
            <v>1840</v>
          </cell>
          <cell r="AH35">
            <v>1841</v>
          </cell>
          <cell r="AI35">
            <v>1845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44</v>
          </cell>
          <cell r="F36">
            <v>44</v>
          </cell>
          <cell r="G36">
            <v>44</v>
          </cell>
          <cell r="H36">
            <v>44</v>
          </cell>
          <cell r="I36">
            <v>44</v>
          </cell>
          <cell r="J36">
            <v>44</v>
          </cell>
          <cell r="K36">
            <v>45</v>
          </cell>
          <cell r="L36">
            <v>45</v>
          </cell>
          <cell r="M36">
            <v>44</v>
          </cell>
          <cell r="N36">
            <v>44</v>
          </cell>
          <cell r="O36">
            <v>44</v>
          </cell>
          <cell r="P36">
            <v>44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40</v>
          </cell>
          <cell r="Y36">
            <v>40</v>
          </cell>
          <cell r="Z36">
            <v>40</v>
          </cell>
          <cell r="AA36">
            <v>40</v>
          </cell>
          <cell r="AB36">
            <v>40</v>
          </cell>
          <cell r="AC36">
            <v>40</v>
          </cell>
          <cell r="AD36">
            <v>40</v>
          </cell>
          <cell r="AE36">
            <v>40</v>
          </cell>
          <cell r="AF36">
            <v>41</v>
          </cell>
          <cell r="AG36">
            <v>41</v>
          </cell>
          <cell r="AH36">
            <v>41</v>
          </cell>
          <cell r="AI36">
            <v>41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13209</v>
          </cell>
          <cell r="F38">
            <v>13243</v>
          </cell>
          <cell r="G38">
            <v>13245</v>
          </cell>
          <cell r="H38">
            <v>13228</v>
          </cell>
          <cell r="I38">
            <v>13180</v>
          </cell>
          <cell r="J38">
            <v>13108</v>
          </cell>
          <cell r="K38">
            <v>13047</v>
          </cell>
          <cell r="L38">
            <v>13001</v>
          </cell>
          <cell r="M38">
            <v>12961</v>
          </cell>
          <cell r="N38">
            <v>12932</v>
          </cell>
          <cell r="O38">
            <v>12931</v>
          </cell>
          <cell r="P38">
            <v>12950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13207</v>
          </cell>
          <cell r="Y38">
            <v>13227</v>
          </cell>
          <cell r="Z38">
            <v>13223</v>
          </cell>
          <cell r="AA38">
            <v>13201</v>
          </cell>
          <cell r="AB38">
            <v>13148</v>
          </cell>
          <cell r="AC38">
            <v>13075</v>
          </cell>
          <cell r="AD38">
            <v>13006</v>
          </cell>
          <cell r="AE38">
            <v>12952</v>
          </cell>
          <cell r="AF38">
            <v>12907</v>
          </cell>
          <cell r="AG38">
            <v>12875</v>
          </cell>
          <cell r="AH38">
            <v>12867</v>
          </cell>
          <cell r="AI38">
            <v>12886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132506</v>
          </cell>
          <cell r="F41">
            <v>229254</v>
          </cell>
          <cell r="G41">
            <v>310266</v>
          </cell>
          <cell r="H41">
            <v>380293</v>
          </cell>
          <cell r="I41">
            <v>405997</v>
          </cell>
          <cell r="J41">
            <v>415611</v>
          </cell>
          <cell r="K41">
            <v>424217</v>
          </cell>
          <cell r="L41">
            <v>432162</v>
          </cell>
          <cell r="M41">
            <v>440132</v>
          </cell>
          <cell r="N41">
            <v>451183</v>
          </cell>
          <cell r="O41">
            <v>487500</v>
          </cell>
          <cell r="P41">
            <v>562939</v>
          </cell>
          <cell r="T41">
            <v>38</v>
          </cell>
          <cell r="U41" t="str">
            <v>Residential</v>
          </cell>
          <cell r="W41"/>
          <cell r="X41">
            <v>99754</v>
          </cell>
          <cell r="Y41">
            <v>186113</v>
          </cell>
          <cell r="Z41">
            <v>254382</v>
          </cell>
          <cell r="AA41">
            <v>310335</v>
          </cell>
          <cell r="AB41">
            <v>328650</v>
          </cell>
          <cell r="AC41">
            <v>341486.8</v>
          </cell>
          <cell r="AD41">
            <v>350546.8</v>
          </cell>
          <cell r="AE41">
            <v>358960.8</v>
          </cell>
          <cell r="AF41">
            <v>367989.8</v>
          </cell>
          <cell r="AG41">
            <v>378404.8</v>
          </cell>
          <cell r="AH41">
            <v>407201.8</v>
          </cell>
          <cell r="AI41">
            <v>479043.8</v>
          </cell>
        </row>
        <row r="42">
          <cell r="A42">
            <v>39</v>
          </cell>
          <cell r="B42" t="str">
            <v>Commercial</v>
          </cell>
          <cell r="D42"/>
          <cell r="E42">
            <v>160378</v>
          </cell>
          <cell r="F42">
            <v>275758</v>
          </cell>
          <cell r="G42">
            <v>388940</v>
          </cell>
          <cell r="H42">
            <v>474175</v>
          </cell>
          <cell r="I42">
            <v>519286</v>
          </cell>
          <cell r="J42">
            <v>551627</v>
          </cell>
          <cell r="K42">
            <v>581747</v>
          </cell>
          <cell r="L42">
            <v>614396</v>
          </cell>
          <cell r="M42">
            <v>645249</v>
          </cell>
          <cell r="N42">
            <v>687862</v>
          </cell>
          <cell r="O42">
            <v>761208</v>
          </cell>
          <cell r="P42">
            <v>869437</v>
          </cell>
          <cell r="T42">
            <v>39</v>
          </cell>
          <cell r="U42" t="str">
            <v>Commercial</v>
          </cell>
          <cell r="W42"/>
          <cell r="X42">
            <v>121684</v>
          </cell>
          <cell r="Y42">
            <v>230930</v>
          </cell>
          <cell r="Z42">
            <v>332649</v>
          </cell>
          <cell r="AA42">
            <v>402229</v>
          </cell>
          <cell r="AB42">
            <v>446346</v>
          </cell>
          <cell r="AC42">
            <v>485774</v>
          </cell>
          <cell r="AD42">
            <v>517513</v>
          </cell>
          <cell r="AE42">
            <v>551295</v>
          </cell>
          <cell r="AF42">
            <v>586566</v>
          </cell>
          <cell r="AG42">
            <v>627034</v>
          </cell>
          <cell r="AH42">
            <v>688949</v>
          </cell>
          <cell r="AI42">
            <v>774911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173051</v>
          </cell>
          <cell r="F43">
            <v>326935</v>
          </cell>
          <cell r="G43">
            <v>496924</v>
          </cell>
          <cell r="H43">
            <v>649922</v>
          </cell>
          <cell r="I43">
            <v>793602</v>
          </cell>
          <cell r="J43">
            <v>945099</v>
          </cell>
          <cell r="K43">
            <v>1079946</v>
          </cell>
          <cell r="L43">
            <v>1233208</v>
          </cell>
          <cell r="M43">
            <v>1372987</v>
          </cell>
          <cell r="N43">
            <v>1539830</v>
          </cell>
          <cell r="O43">
            <v>1716732</v>
          </cell>
          <cell r="P43">
            <v>1893278</v>
          </cell>
          <cell r="T43">
            <v>40</v>
          </cell>
          <cell r="U43" t="str">
            <v xml:space="preserve">Industrial </v>
          </cell>
          <cell r="W43"/>
          <cell r="X43">
            <v>144498</v>
          </cell>
          <cell r="Y43">
            <v>279875</v>
          </cell>
          <cell r="Z43">
            <v>433667</v>
          </cell>
          <cell r="AA43">
            <v>561308</v>
          </cell>
          <cell r="AB43">
            <v>693813</v>
          </cell>
          <cell r="AC43">
            <v>829326</v>
          </cell>
          <cell r="AD43">
            <v>946843</v>
          </cell>
          <cell r="AE43">
            <v>1094718</v>
          </cell>
          <cell r="AF43">
            <v>1219293</v>
          </cell>
          <cell r="AG43">
            <v>1370540</v>
          </cell>
          <cell r="AH43">
            <v>1546128</v>
          </cell>
          <cell r="AI43">
            <v>1708693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465935</v>
          </cell>
          <cell r="F45">
            <v>831947</v>
          </cell>
          <cell r="G45">
            <v>1196130</v>
          </cell>
          <cell r="H45">
            <v>1504390</v>
          </cell>
          <cell r="I45">
            <v>1718885</v>
          </cell>
          <cell r="J45">
            <v>1912337</v>
          </cell>
          <cell r="K45">
            <v>2085910</v>
          </cell>
          <cell r="L45">
            <v>2279766</v>
          </cell>
          <cell r="M45">
            <v>2458368</v>
          </cell>
          <cell r="N45">
            <v>2678875</v>
          </cell>
          <cell r="O45">
            <v>2965440</v>
          </cell>
          <cell r="P45">
            <v>3325654</v>
          </cell>
          <cell r="T45">
            <v>42</v>
          </cell>
          <cell r="U45" t="str">
            <v>Total Volume</v>
          </cell>
          <cell r="V45"/>
          <cell r="W45"/>
          <cell r="X45">
            <v>365936</v>
          </cell>
          <cell r="Y45">
            <v>696918</v>
          </cell>
          <cell r="Z45">
            <v>1020698</v>
          </cell>
          <cell r="AA45">
            <v>1273872</v>
          </cell>
          <cell r="AB45">
            <v>1468809</v>
          </cell>
          <cell r="AC45">
            <v>1656586.8</v>
          </cell>
          <cell r="AD45">
            <v>1814902.8</v>
          </cell>
          <cell r="AE45">
            <v>2004973.8</v>
          </cell>
          <cell r="AF45">
            <v>2173848.7999999998</v>
          </cell>
          <cell r="AG45">
            <v>2375978.7999999998</v>
          </cell>
          <cell r="AH45">
            <v>2642278.7999999998</v>
          </cell>
          <cell r="AI45">
            <v>2962647.8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139099</v>
          </cell>
          <cell r="F48">
            <v>240292</v>
          </cell>
          <cell r="G48">
            <v>325080</v>
          </cell>
          <cell r="H48">
            <v>398092</v>
          </cell>
          <cell r="I48">
            <v>424894</v>
          </cell>
          <cell r="J48">
            <v>434949</v>
          </cell>
          <cell r="K48">
            <v>443944</v>
          </cell>
          <cell r="L48">
            <v>452220</v>
          </cell>
          <cell r="M48">
            <v>460545</v>
          </cell>
          <cell r="N48">
            <v>472041</v>
          </cell>
          <cell r="O48">
            <v>509864</v>
          </cell>
          <cell r="P48">
            <v>588539</v>
          </cell>
          <cell r="T48">
            <v>45</v>
          </cell>
          <cell r="U48" t="str">
            <v>Residential</v>
          </cell>
          <cell r="W48"/>
          <cell r="X48">
            <v>104769</v>
          </cell>
          <cell r="Y48">
            <v>195352</v>
          </cell>
          <cell r="Z48">
            <v>266904</v>
          </cell>
          <cell r="AA48">
            <v>325426</v>
          </cell>
          <cell r="AB48">
            <v>344557</v>
          </cell>
          <cell r="AC48">
            <v>358003</v>
          </cell>
          <cell r="AD48">
            <v>367500</v>
          </cell>
          <cell r="AE48">
            <v>376283</v>
          </cell>
          <cell r="AF48">
            <v>385736</v>
          </cell>
          <cell r="AG48">
            <v>396663</v>
          </cell>
          <cell r="AH48">
            <v>426881</v>
          </cell>
          <cell r="AI48">
            <v>502370</v>
          </cell>
        </row>
        <row r="49">
          <cell r="A49">
            <v>46</v>
          </cell>
          <cell r="B49" t="str">
            <v>Commercial</v>
          </cell>
          <cell r="D49"/>
          <cell r="E49">
            <v>168358</v>
          </cell>
          <cell r="F49">
            <v>289039</v>
          </cell>
          <cell r="G49">
            <v>407496</v>
          </cell>
          <cell r="H49">
            <v>496364</v>
          </cell>
          <cell r="I49">
            <v>543402</v>
          </cell>
          <cell r="J49">
            <v>577226</v>
          </cell>
          <cell r="K49">
            <v>608708</v>
          </cell>
          <cell r="L49">
            <v>642718</v>
          </cell>
          <cell r="M49">
            <v>674946</v>
          </cell>
          <cell r="N49">
            <v>719274</v>
          </cell>
          <cell r="O49">
            <v>795662</v>
          </cell>
          <cell r="P49">
            <v>908534</v>
          </cell>
          <cell r="T49">
            <v>46</v>
          </cell>
          <cell r="U49" t="str">
            <v>Commercial</v>
          </cell>
          <cell r="W49"/>
          <cell r="X49">
            <v>127801</v>
          </cell>
          <cell r="Y49">
            <v>242390</v>
          </cell>
          <cell r="Z49">
            <v>349001</v>
          </cell>
          <cell r="AA49">
            <v>421775</v>
          </cell>
          <cell r="AB49">
            <v>467858</v>
          </cell>
          <cell r="AC49">
            <v>509157</v>
          </cell>
          <cell r="AD49">
            <v>542427</v>
          </cell>
          <cell r="AE49">
            <v>577691</v>
          </cell>
          <cell r="AF49">
            <v>614619</v>
          </cell>
          <cell r="AG49">
            <v>657076</v>
          </cell>
          <cell r="AH49">
            <v>722047</v>
          </cell>
          <cell r="AI49">
            <v>812373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181661</v>
          </cell>
          <cell r="F50">
            <v>342614</v>
          </cell>
          <cell r="G50">
            <v>520526</v>
          </cell>
          <cell r="H50">
            <v>680046</v>
          </cell>
          <cell r="I50">
            <v>829864</v>
          </cell>
          <cell r="J50">
            <v>988307</v>
          </cell>
          <cell r="K50">
            <v>1129251</v>
          </cell>
          <cell r="L50">
            <v>1288904</v>
          </cell>
          <cell r="M50">
            <v>1434911</v>
          </cell>
          <cell r="N50">
            <v>1608468</v>
          </cell>
          <cell r="O50">
            <v>1792707</v>
          </cell>
          <cell r="P50">
            <v>1976827</v>
          </cell>
          <cell r="T50">
            <v>47</v>
          </cell>
          <cell r="U50" t="str">
            <v xml:space="preserve">Industrial </v>
          </cell>
          <cell r="W50"/>
          <cell r="X50">
            <v>151762</v>
          </cell>
          <cell r="Y50">
            <v>293760</v>
          </cell>
          <cell r="Z50">
            <v>454948</v>
          </cell>
          <cell r="AA50">
            <v>588449</v>
          </cell>
          <cell r="AB50">
            <v>726858</v>
          </cell>
          <cell r="AC50">
            <v>868802</v>
          </cell>
          <cell r="AD50">
            <v>991987</v>
          </cell>
          <cell r="AE50">
            <v>1146348</v>
          </cell>
          <cell r="AF50">
            <v>1276774</v>
          </cell>
          <cell r="AG50">
            <v>1435453</v>
          </cell>
          <cell r="AH50">
            <v>1619708</v>
          </cell>
          <cell r="AI50">
            <v>1790526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489118</v>
          </cell>
          <cell r="F52">
            <v>871945</v>
          </cell>
          <cell r="G52">
            <v>1253102</v>
          </cell>
          <cell r="H52">
            <v>1574502</v>
          </cell>
          <cell r="I52">
            <v>1798160</v>
          </cell>
          <cell r="J52">
            <v>2000482</v>
          </cell>
          <cell r="K52">
            <v>2181903</v>
          </cell>
          <cell r="L52">
            <v>2383842</v>
          </cell>
          <cell r="M52">
            <v>2570402</v>
          </cell>
          <cell r="N52">
            <v>2799783</v>
          </cell>
          <cell r="O52">
            <v>3098233</v>
          </cell>
          <cell r="P52">
            <v>3473900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384332</v>
          </cell>
          <cell r="Y52">
            <v>731502</v>
          </cell>
          <cell r="Z52">
            <v>1070853</v>
          </cell>
          <cell r="AA52">
            <v>1335650</v>
          </cell>
          <cell r="AB52">
            <v>1539273</v>
          </cell>
          <cell r="AC52">
            <v>1735962</v>
          </cell>
          <cell r="AD52">
            <v>1901914</v>
          </cell>
          <cell r="AE52">
            <v>2100322</v>
          </cell>
          <cell r="AF52">
            <v>2277129</v>
          </cell>
          <cell r="AG52">
            <v>2489192</v>
          </cell>
          <cell r="AH52">
            <v>2768636</v>
          </cell>
          <cell r="AI52">
            <v>3105269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13376</v>
          </cell>
          <cell r="F55">
            <v>13416</v>
          </cell>
          <cell r="G55">
            <v>13428</v>
          </cell>
          <cell r="H55">
            <v>13423</v>
          </cell>
          <cell r="I55">
            <v>13377</v>
          </cell>
          <cell r="J55">
            <v>13272</v>
          </cell>
          <cell r="K55">
            <v>13174</v>
          </cell>
          <cell r="L55">
            <v>13098</v>
          </cell>
          <cell r="M55">
            <v>13039</v>
          </cell>
          <cell r="N55">
            <v>13000</v>
          </cell>
          <cell r="O55">
            <v>12999</v>
          </cell>
          <cell r="P55">
            <v>13029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399392.42059581354</v>
          </cell>
          <cell r="F56">
            <v>798080.10439483193</v>
          </cell>
          <cell r="G56">
            <v>1176817.4795801663</v>
          </cell>
          <cell r="H56">
            <v>1480241.2099246052</v>
          </cell>
          <cell r="I56">
            <v>1722276.4592685194</v>
          </cell>
          <cell r="J56">
            <v>1941457.75608186</v>
          </cell>
          <cell r="K56">
            <v>2130850.2306953208</v>
          </cell>
          <cell r="L56">
            <v>2333705.9218120375</v>
          </cell>
          <cell r="M56">
            <v>2553786.8425869909</v>
          </cell>
          <cell r="N56">
            <v>2799078.6485088421</v>
          </cell>
          <cell r="O56">
            <v>3075692.1352610053</v>
          </cell>
          <cell r="P56">
            <v>3436606.9608981861</v>
          </cell>
        </row>
        <row r="57">
          <cell r="A57">
            <v>54</v>
          </cell>
          <cell r="B57" t="str">
            <v>Cumulative YTD Budget Volume (Dts) * 1.035</v>
          </cell>
          <cell r="E57">
            <v>413371.15531666699</v>
          </cell>
          <cell r="F57">
            <v>826012.90804865095</v>
          </cell>
          <cell r="G57">
            <v>1218006.0913654719</v>
          </cell>
          <cell r="H57">
            <v>1532049.652271966</v>
          </cell>
          <cell r="I57">
            <v>1782556.1353429172</v>
          </cell>
          <cell r="J57">
            <v>2009408.7775447248</v>
          </cell>
          <cell r="K57">
            <v>2205429.9887696565</v>
          </cell>
          <cell r="L57">
            <v>2415385.6290754583</v>
          </cell>
          <cell r="M57">
            <v>2643169.3820775351</v>
          </cell>
          <cell r="N57">
            <v>2897046.4012066508</v>
          </cell>
          <cell r="O57">
            <v>3183341.3599951398</v>
          </cell>
          <cell r="P57">
            <v>3556888.2045296221</v>
          </cell>
        </row>
      </sheetData>
      <sheetData sheetId="12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9615</v>
          </cell>
          <cell r="E5">
            <v>9631</v>
          </cell>
          <cell r="F5">
            <v>9654</v>
          </cell>
          <cell r="G5">
            <v>9656</v>
          </cell>
          <cell r="H5">
            <v>9612</v>
          </cell>
          <cell r="I5">
            <v>9588</v>
          </cell>
          <cell r="J5">
            <v>9590</v>
          </cell>
          <cell r="K5">
            <v>9587</v>
          </cell>
          <cell r="L5">
            <v>9590</v>
          </cell>
          <cell r="M5">
            <v>9590</v>
          </cell>
          <cell r="N5">
            <v>9588</v>
          </cell>
          <cell r="O5">
            <v>9619</v>
          </cell>
          <cell r="P5">
            <v>9672</v>
          </cell>
          <cell r="T5">
            <v>2</v>
          </cell>
          <cell r="U5" t="str">
            <v>Residential</v>
          </cell>
          <cell r="V5">
            <v>9528</v>
          </cell>
          <cell r="W5">
            <v>114337</v>
          </cell>
          <cell r="X5">
            <v>9578</v>
          </cell>
          <cell r="Y5">
            <v>9579</v>
          </cell>
          <cell r="Z5">
            <v>9546</v>
          </cell>
          <cell r="AA5">
            <v>9532</v>
          </cell>
          <cell r="AB5">
            <v>9502</v>
          </cell>
          <cell r="AC5">
            <v>9481</v>
          </cell>
          <cell r="AD5">
            <v>9487</v>
          </cell>
          <cell r="AE5">
            <v>9492</v>
          </cell>
          <cell r="AF5">
            <v>9503</v>
          </cell>
          <cell r="AG5">
            <v>9500</v>
          </cell>
          <cell r="AH5">
            <v>9538</v>
          </cell>
          <cell r="AI5">
            <v>9599</v>
          </cell>
        </row>
        <row r="6">
          <cell r="A6">
            <v>3</v>
          </cell>
          <cell r="B6" t="str">
            <v>Commercial</v>
          </cell>
          <cell r="C6"/>
          <cell r="D6">
            <v>1075</v>
          </cell>
          <cell r="E6">
            <v>1041</v>
          </cell>
          <cell r="F6">
            <v>1039</v>
          </cell>
          <cell r="G6">
            <v>1040</v>
          </cell>
          <cell r="H6">
            <v>1055</v>
          </cell>
          <cell r="I6">
            <v>1084</v>
          </cell>
          <cell r="J6">
            <v>1104</v>
          </cell>
          <cell r="K6">
            <v>1094</v>
          </cell>
          <cell r="L6">
            <v>1098</v>
          </cell>
          <cell r="M6">
            <v>1098</v>
          </cell>
          <cell r="N6">
            <v>1091</v>
          </cell>
          <cell r="O6">
            <v>1075</v>
          </cell>
          <cell r="P6">
            <v>1078</v>
          </cell>
          <cell r="T6">
            <v>3</v>
          </cell>
          <cell r="U6" t="str">
            <v>Commercial</v>
          </cell>
          <cell r="V6">
            <v>1059</v>
          </cell>
          <cell r="W6">
            <v>12707</v>
          </cell>
          <cell r="X6">
            <v>1039</v>
          </cell>
          <cell r="Y6">
            <v>1037</v>
          </cell>
          <cell r="Z6">
            <v>1029</v>
          </cell>
          <cell r="AA6">
            <v>1036</v>
          </cell>
          <cell r="AB6">
            <v>1060</v>
          </cell>
          <cell r="AC6">
            <v>1087</v>
          </cell>
          <cell r="AD6">
            <v>1086</v>
          </cell>
          <cell r="AE6">
            <v>1086</v>
          </cell>
          <cell r="AF6">
            <v>1087</v>
          </cell>
          <cell r="AG6">
            <v>1076</v>
          </cell>
          <cell r="AH6">
            <v>1046</v>
          </cell>
          <cell r="AI6">
            <v>1038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22</v>
          </cell>
          <cell r="E7">
            <v>21</v>
          </cell>
          <cell r="F7">
            <v>20</v>
          </cell>
          <cell r="G7">
            <v>20</v>
          </cell>
          <cell r="H7">
            <v>20</v>
          </cell>
          <cell r="I7">
            <v>20</v>
          </cell>
          <cell r="J7">
            <v>20</v>
          </cell>
          <cell r="K7">
            <v>24</v>
          </cell>
          <cell r="L7">
            <v>24</v>
          </cell>
          <cell r="M7">
            <v>24</v>
          </cell>
          <cell r="N7">
            <v>24</v>
          </cell>
          <cell r="O7">
            <v>24</v>
          </cell>
          <cell r="P7">
            <v>24</v>
          </cell>
          <cell r="T7">
            <v>4</v>
          </cell>
          <cell r="U7" t="str">
            <v xml:space="preserve">Industrial </v>
          </cell>
          <cell r="V7">
            <v>18</v>
          </cell>
          <cell r="W7">
            <v>211</v>
          </cell>
          <cell r="X7">
            <v>10</v>
          </cell>
          <cell r="Y7">
            <v>17</v>
          </cell>
          <cell r="Z7">
            <v>17</v>
          </cell>
          <cell r="AA7">
            <v>17</v>
          </cell>
          <cell r="AB7">
            <v>17</v>
          </cell>
          <cell r="AC7">
            <v>17</v>
          </cell>
          <cell r="AD7">
            <v>18</v>
          </cell>
          <cell r="AE7">
            <v>18</v>
          </cell>
          <cell r="AF7">
            <v>19</v>
          </cell>
          <cell r="AG7">
            <v>20</v>
          </cell>
          <cell r="AH7">
            <v>20</v>
          </cell>
          <cell r="AI7">
            <v>21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10712</v>
          </cell>
          <cell r="E9">
            <v>10693</v>
          </cell>
          <cell r="F9">
            <v>10713</v>
          </cell>
          <cell r="G9">
            <v>10716</v>
          </cell>
          <cell r="H9">
            <v>10687</v>
          </cell>
          <cell r="I9">
            <v>10692</v>
          </cell>
          <cell r="J9">
            <v>10714</v>
          </cell>
          <cell r="K9">
            <v>10705</v>
          </cell>
          <cell r="L9">
            <v>10712</v>
          </cell>
          <cell r="M9">
            <v>10712</v>
          </cell>
          <cell r="N9">
            <v>10703</v>
          </cell>
          <cell r="O9">
            <v>10718</v>
          </cell>
          <cell r="P9">
            <v>10774</v>
          </cell>
          <cell r="T9">
            <v>6</v>
          </cell>
          <cell r="U9" t="str">
            <v>Total customers</v>
          </cell>
          <cell r="V9">
            <v>10605</v>
          </cell>
          <cell r="W9">
            <v>127255</v>
          </cell>
          <cell r="X9">
            <v>10627</v>
          </cell>
          <cell r="Y9">
            <v>10633</v>
          </cell>
          <cell r="Z9">
            <v>10592</v>
          </cell>
          <cell r="AA9">
            <v>10585</v>
          </cell>
          <cell r="AB9">
            <v>10579</v>
          </cell>
          <cell r="AC9">
            <v>10585</v>
          </cell>
          <cell r="AD9">
            <v>10591</v>
          </cell>
          <cell r="AE9">
            <v>10596</v>
          </cell>
          <cell r="AF9">
            <v>10609</v>
          </cell>
          <cell r="AG9">
            <v>10596</v>
          </cell>
          <cell r="AH9">
            <v>10604</v>
          </cell>
          <cell r="AI9">
            <v>10658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276425</v>
          </cell>
          <cell r="E12">
            <v>68205</v>
          </cell>
          <cell r="F12">
            <v>46120</v>
          </cell>
          <cell r="G12">
            <v>35438</v>
          </cell>
          <cell r="H12">
            <v>32493</v>
          </cell>
          <cell r="I12">
            <v>12288</v>
          </cell>
          <cell r="J12">
            <v>6304</v>
          </cell>
          <cell r="K12">
            <v>6225</v>
          </cell>
          <cell r="L12">
            <v>5522</v>
          </cell>
          <cell r="M12">
            <v>5523</v>
          </cell>
          <cell r="N12">
            <v>5668</v>
          </cell>
          <cell r="O12">
            <v>15745</v>
          </cell>
          <cell r="P12">
            <v>36894</v>
          </cell>
          <cell r="T12">
            <v>9</v>
          </cell>
          <cell r="U12" t="str">
            <v>Residential</v>
          </cell>
          <cell r="W12">
            <v>220407</v>
          </cell>
          <cell r="X12">
            <v>42585</v>
          </cell>
          <cell r="Y12">
            <v>38389</v>
          </cell>
          <cell r="Z12">
            <v>31615</v>
          </cell>
          <cell r="AA12">
            <v>23154</v>
          </cell>
          <cell r="AB12">
            <v>8596</v>
          </cell>
          <cell r="AC12">
            <v>6909</v>
          </cell>
          <cell r="AD12">
            <v>6116</v>
          </cell>
          <cell r="AE12">
            <v>5621</v>
          </cell>
          <cell r="AF12">
            <v>5931</v>
          </cell>
          <cell r="AG12">
            <v>5747</v>
          </cell>
          <cell r="AH12">
            <v>14794</v>
          </cell>
          <cell r="AI12">
            <v>30950</v>
          </cell>
        </row>
        <row r="13">
          <cell r="A13">
            <v>10</v>
          </cell>
          <cell r="B13" t="str">
            <v>Commercial</v>
          </cell>
          <cell r="D13">
            <v>345958</v>
          </cell>
          <cell r="E13">
            <v>45386</v>
          </cell>
          <cell r="F13">
            <v>35155</v>
          </cell>
          <cell r="G13">
            <v>30999</v>
          </cell>
          <cell r="H13">
            <v>32726</v>
          </cell>
          <cell r="I13">
            <v>27114</v>
          </cell>
          <cell r="J13">
            <v>26061</v>
          </cell>
          <cell r="K13">
            <v>30933</v>
          </cell>
          <cell r="L13">
            <v>27936</v>
          </cell>
          <cell r="M13">
            <v>28301</v>
          </cell>
          <cell r="N13">
            <v>19742</v>
          </cell>
          <cell r="O13">
            <v>17832</v>
          </cell>
          <cell r="P13">
            <v>23773</v>
          </cell>
          <cell r="T13">
            <v>10</v>
          </cell>
          <cell r="U13" t="str">
            <v>Commercial</v>
          </cell>
          <cell r="W13">
            <v>333243</v>
          </cell>
          <cell r="X13">
            <v>30879</v>
          </cell>
          <cell r="Y13">
            <v>30546</v>
          </cell>
          <cell r="Z13">
            <v>28334</v>
          </cell>
          <cell r="AA13">
            <v>28615</v>
          </cell>
          <cell r="AB13">
            <v>20980</v>
          </cell>
          <cell r="AC13">
            <v>27622</v>
          </cell>
          <cell r="AD13">
            <v>33066</v>
          </cell>
          <cell r="AE13">
            <v>31962</v>
          </cell>
          <cell r="AF13">
            <v>31487</v>
          </cell>
          <cell r="AG13">
            <v>23615</v>
          </cell>
          <cell r="AH13">
            <v>20854</v>
          </cell>
          <cell r="AI13">
            <v>25283</v>
          </cell>
        </row>
        <row r="14">
          <cell r="A14">
            <v>11</v>
          </cell>
          <cell r="B14" t="str">
            <v xml:space="preserve">Industrial </v>
          </cell>
          <cell r="D14">
            <v>227005</v>
          </cell>
          <cell r="E14">
            <v>16346</v>
          </cell>
          <cell r="F14">
            <v>15872</v>
          </cell>
          <cell r="G14">
            <v>17977</v>
          </cell>
          <cell r="H14">
            <v>19844</v>
          </cell>
          <cell r="I14">
            <v>15191</v>
          </cell>
          <cell r="J14">
            <v>23564</v>
          </cell>
          <cell r="K14">
            <v>16504</v>
          </cell>
          <cell r="L14">
            <v>17183</v>
          </cell>
          <cell r="M14">
            <v>14762</v>
          </cell>
          <cell r="N14">
            <v>21640</v>
          </cell>
          <cell r="O14">
            <v>26835</v>
          </cell>
          <cell r="P14">
            <v>21287</v>
          </cell>
          <cell r="T14">
            <v>11</v>
          </cell>
          <cell r="U14" t="str">
            <v xml:space="preserve">Industrial </v>
          </cell>
          <cell r="W14">
            <v>208693</v>
          </cell>
          <cell r="X14">
            <v>14695</v>
          </cell>
          <cell r="Y14">
            <v>13551</v>
          </cell>
          <cell r="Z14">
            <v>16784</v>
          </cell>
          <cell r="AA14">
            <v>16178</v>
          </cell>
          <cell r="AB14">
            <v>20580</v>
          </cell>
          <cell r="AC14">
            <v>16890</v>
          </cell>
          <cell r="AD14">
            <v>15683</v>
          </cell>
          <cell r="AE14">
            <v>15572</v>
          </cell>
          <cell r="AF14">
            <v>18843</v>
          </cell>
          <cell r="AG14">
            <v>19672</v>
          </cell>
          <cell r="AH14">
            <v>20205</v>
          </cell>
          <cell r="AI14">
            <v>20040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849388</v>
          </cell>
          <cell r="E16">
            <v>129937</v>
          </cell>
          <cell r="F16">
            <v>97147</v>
          </cell>
          <cell r="G16">
            <v>84414</v>
          </cell>
          <cell r="H16">
            <v>85063</v>
          </cell>
          <cell r="I16">
            <v>54593</v>
          </cell>
          <cell r="J16">
            <v>55929</v>
          </cell>
          <cell r="K16">
            <v>53662</v>
          </cell>
          <cell r="L16">
            <v>50641</v>
          </cell>
          <cell r="M16">
            <v>48586</v>
          </cell>
          <cell r="N16">
            <v>47050</v>
          </cell>
          <cell r="O16">
            <v>60412</v>
          </cell>
          <cell r="P16">
            <v>81954</v>
          </cell>
          <cell r="T16">
            <v>13</v>
          </cell>
          <cell r="U16" t="str">
            <v>Total Deliveries</v>
          </cell>
          <cell r="V16"/>
          <cell r="W16">
            <v>762343</v>
          </cell>
          <cell r="X16">
            <v>88159</v>
          </cell>
          <cell r="Y16">
            <v>82486</v>
          </cell>
          <cell r="Z16">
            <v>76733</v>
          </cell>
          <cell r="AA16">
            <v>67947</v>
          </cell>
          <cell r="AB16">
            <v>50156</v>
          </cell>
          <cell r="AC16">
            <v>51421</v>
          </cell>
          <cell r="AD16">
            <v>54865</v>
          </cell>
          <cell r="AE16">
            <v>53155</v>
          </cell>
          <cell r="AF16">
            <v>56261</v>
          </cell>
          <cell r="AG16">
            <v>49034</v>
          </cell>
          <cell r="AH16">
            <v>55853</v>
          </cell>
          <cell r="AI16">
            <v>76273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289010</v>
          </cell>
          <cell r="E21">
            <v>71599</v>
          </cell>
          <cell r="F21">
            <v>48239</v>
          </cell>
          <cell r="G21">
            <v>37090</v>
          </cell>
          <cell r="H21">
            <v>33878</v>
          </cell>
          <cell r="I21">
            <v>12813</v>
          </cell>
          <cell r="J21">
            <v>6593</v>
          </cell>
          <cell r="K21">
            <v>6506</v>
          </cell>
          <cell r="L21">
            <v>5752</v>
          </cell>
          <cell r="M21">
            <v>5769</v>
          </cell>
          <cell r="N21">
            <v>5896</v>
          </cell>
          <cell r="O21">
            <v>16398</v>
          </cell>
          <cell r="P21">
            <v>38477</v>
          </cell>
          <cell r="T21">
            <v>18</v>
          </cell>
          <cell r="U21" t="str">
            <v>Residential</v>
          </cell>
          <cell r="W21">
            <v>231124</v>
          </cell>
          <cell r="X21">
            <v>44726</v>
          </cell>
          <cell r="Y21">
            <v>40267</v>
          </cell>
          <cell r="Z21">
            <v>33135</v>
          </cell>
          <cell r="AA21">
            <v>24217</v>
          </cell>
          <cell r="AB21">
            <v>8979</v>
          </cell>
          <cell r="AC21">
            <v>7237</v>
          </cell>
          <cell r="AD21">
            <v>6411</v>
          </cell>
          <cell r="AE21">
            <v>5868</v>
          </cell>
          <cell r="AF21">
            <v>6210</v>
          </cell>
          <cell r="AG21">
            <v>6029</v>
          </cell>
          <cell r="AH21">
            <v>15524</v>
          </cell>
          <cell r="AI21">
            <v>32521</v>
          </cell>
        </row>
        <row r="22">
          <cell r="A22">
            <v>19</v>
          </cell>
          <cell r="B22" t="str">
            <v>Commercial</v>
          </cell>
          <cell r="D22">
            <v>361403</v>
          </cell>
          <cell r="E22">
            <v>47644</v>
          </cell>
          <cell r="F22">
            <v>36770</v>
          </cell>
          <cell r="G22">
            <v>32444</v>
          </cell>
          <cell r="H22">
            <v>34121</v>
          </cell>
          <cell r="I22">
            <v>28272</v>
          </cell>
          <cell r="J22">
            <v>27256</v>
          </cell>
          <cell r="K22">
            <v>32332</v>
          </cell>
          <cell r="L22">
            <v>29101</v>
          </cell>
          <cell r="M22">
            <v>29562</v>
          </cell>
          <cell r="N22">
            <v>20536</v>
          </cell>
          <cell r="O22">
            <v>18572</v>
          </cell>
          <cell r="P22">
            <v>24793</v>
          </cell>
          <cell r="T22">
            <v>19</v>
          </cell>
          <cell r="U22" t="str">
            <v>Commercial</v>
          </cell>
          <cell r="W22">
            <v>349161</v>
          </cell>
          <cell r="X22">
            <v>32431</v>
          </cell>
          <cell r="Y22">
            <v>32040</v>
          </cell>
          <cell r="Z22">
            <v>29697</v>
          </cell>
          <cell r="AA22">
            <v>29929</v>
          </cell>
          <cell r="AB22">
            <v>21915</v>
          </cell>
          <cell r="AC22">
            <v>28933</v>
          </cell>
          <cell r="AD22">
            <v>34661</v>
          </cell>
          <cell r="AE22">
            <v>33364</v>
          </cell>
          <cell r="AF22">
            <v>32966</v>
          </cell>
          <cell r="AG22">
            <v>24775</v>
          </cell>
          <cell r="AH22">
            <v>21883</v>
          </cell>
          <cell r="AI22">
            <v>26567</v>
          </cell>
        </row>
        <row r="23">
          <cell r="A23">
            <v>20</v>
          </cell>
          <cell r="B23" t="str">
            <v xml:space="preserve">Industrial </v>
          </cell>
          <cell r="D23">
            <v>236977</v>
          </cell>
          <cell r="E23">
            <v>17159</v>
          </cell>
          <cell r="F23">
            <v>16601</v>
          </cell>
          <cell r="G23">
            <v>18815</v>
          </cell>
          <cell r="H23">
            <v>20690</v>
          </cell>
          <cell r="I23">
            <v>15840</v>
          </cell>
          <cell r="J23">
            <v>24644</v>
          </cell>
          <cell r="K23">
            <v>17250</v>
          </cell>
          <cell r="L23">
            <v>17899</v>
          </cell>
          <cell r="M23">
            <v>15420</v>
          </cell>
          <cell r="N23">
            <v>22511</v>
          </cell>
          <cell r="O23">
            <v>27948</v>
          </cell>
          <cell r="P23">
            <v>22200</v>
          </cell>
          <cell r="T23">
            <v>20</v>
          </cell>
          <cell r="U23" t="str">
            <v xml:space="preserve">Industrial </v>
          </cell>
          <cell r="W23">
            <v>218669</v>
          </cell>
          <cell r="X23">
            <v>15434</v>
          </cell>
          <cell r="Y23">
            <v>14214</v>
          </cell>
          <cell r="Z23">
            <v>17591</v>
          </cell>
          <cell r="AA23">
            <v>16921</v>
          </cell>
          <cell r="AB23">
            <v>21497</v>
          </cell>
          <cell r="AC23">
            <v>17692</v>
          </cell>
          <cell r="AD23">
            <v>16439</v>
          </cell>
          <cell r="AE23">
            <v>16255</v>
          </cell>
          <cell r="AF23">
            <v>19728</v>
          </cell>
          <cell r="AG23">
            <v>20639</v>
          </cell>
          <cell r="AH23">
            <v>21202</v>
          </cell>
          <cell r="AI23">
            <v>21057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887390</v>
          </cell>
          <cell r="E25">
            <v>136402</v>
          </cell>
          <cell r="F25">
            <v>101610</v>
          </cell>
          <cell r="G25">
            <v>88349</v>
          </cell>
          <cell r="H25">
            <v>88689</v>
          </cell>
          <cell r="I25">
            <v>56925</v>
          </cell>
          <cell r="J25">
            <v>58493</v>
          </cell>
          <cell r="K25">
            <v>56088</v>
          </cell>
          <cell r="L25">
            <v>52752</v>
          </cell>
          <cell r="M25">
            <v>50751</v>
          </cell>
          <cell r="N25">
            <v>48943</v>
          </cell>
          <cell r="O25">
            <v>62918</v>
          </cell>
          <cell r="P25">
            <v>85470</v>
          </cell>
          <cell r="T25">
            <v>22</v>
          </cell>
          <cell r="U25" t="str">
            <v>Total Deliveries</v>
          </cell>
          <cell r="V25"/>
          <cell r="W25">
            <v>798954</v>
          </cell>
          <cell r="X25">
            <v>92591</v>
          </cell>
          <cell r="Y25">
            <v>86521</v>
          </cell>
          <cell r="Z25">
            <v>80423</v>
          </cell>
          <cell r="AA25">
            <v>71067</v>
          </cell>
          <cell r="AB25">
            <v>52391</v>
          </cell>
          <cell r="AC25">
            <v>53862</v>
          </cell>
          <cell r="AD25">
            <v>57511</v>
          </cell>
          <cell r="AE25">
            <v>55487</v>
          </cell>
          <cell r="AF25">
            <v>58904</v>
          </cell>
          <cell r="AG25">
            <v>51443</v>
          </cell>
          <cell r="AH25">
            <v>58609</v>
          </cell>
          <cell r="AI25">
            <v>80145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10789</v>
          </cell>
          <cell r="F28">
            <v>10866</v>
          </cell>
          <cell r="G28">
            <v>10913</v>
          </cell>
          <cell r="H28">
            <v>10982</v>
          </cell>
          <cell r="I28">
            <v>11031</v>
          </cell>
          <cell r="J28">
            <v>10074</v>
          </cell>
          <cell r="K28">
            <v>10374</v>
          </cell>
          <cell r="L28">
            <v>10477</v>
          </cell>
          <cell r="M28">
            <v>10556</v>
          </cell>
          <cell r="N28">
            <v>10650</v>
          </cell>
          <cell r="O28">
            <v>10732</v>
          </cell>
          <cell r="P28">
            <v>10851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92933.264881779818</v>
          </cell>
          <cell r="F29">
            <v>97850.537350121216</v>
          </cell>
          <cell r="G29">
            <v>86987.812592687726</v>
          </cell>
          <cell r="H29">
            <v>74174.698919399423</v>
          </cell>
          <cell r="I29">
            <v>55525.254958488302</v>
          </cell>
          <cell r="J29">
            <v>52393.63418152745</v>
          </cell>
          <cell r="K29">
            <v>53421.87211232532</v>
          </cell>
          <cell r="L29">
            <v>53583.770564426763</v>
          </cell>
          <cell r="M29">
            <v>58792.43267001216</v>
          </cell>
          <cell r="N29">
            <v>57733.5507813816</v>
          </cell>
          <cell r="O29">
            <v>56884.828846269171</v>
          </cell>
          <cell r="P29">
            <v>83401.00997024955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96185.9291526421</v>
          </cell>
          <cell r="F30">
            <v>101275.30615737545</v>
          </cell>
          <cell r="G30">
            <v>90032.386033431787</v>
          </cell>
          <cell r="H30">
            <v>76770.813381578395</v>
          </cell>
          <cell r="I30">
            <v>57468.63888203539</v>
          </cell>
          <cell r="J30">
            <v>54227.411377880904</v>
          </cell>
          <cell r="K30">
            <v>55291.637636256703</v>
          </cell>
          <cell r="L30">
            <v>55459.202534181692</v>
          </cell>
          <cell r="M30">
            <v>60850.167813462584</v>
          </cell>
          <cell r="N30">
            <v>59754.22505872995</v>
          </cell>
          <cell r="O30">
            <v>58875.797855888588</v>
          </cell>
          <cell r="P30">
            <v>86320.045319208279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9631</v>
          </cell>
          <cell r="F34">
            <v>9643</v>
          </cell>
          <cell r="G34">
            <v>9647</v>
          </cell>
          <cell r="H34">
            <v>9638</v>
          </cell>
          <cell r="I34">
            <v>9628</v>
          </cell>
          <cell r="J34">
            <v>9622</v>
          </cell>
          <cell r="K34">
            <v>9617</v>
          </cell>
          <cell r="L34">
            <v>9614</v>
          </cell>
          <cell r="M34">
            <v>9611</v>
          </cell>
          <cell r="N34">
            <v>9609</v>
          </cell>
          <cell r="O34">
            <v>9610</v>
          </cell>
          <cell r="P34">
            <v>9615</v>
          </cell>
          <cell r="T34">
            <v>31</v>
          </cell>
          <cell r="U34" t="str">
            <v>Residential</v>
          </cell>
          <cell r="V34"/>
          <cell r="W34"/>
          <cell r="X34">
            <v>9578</v>
          </cell>
          <cell r="Y34">
            <v>9579</v>
          </cell>
          <cell r="Z34">
            <v>9568</v>
          </cell>
          <cell r="AA34">
            <v>9559</v>
          </cell>
          <cell r="AB34">
            <v>9547</v>
          </cell>
          <cell r="AC34">
            <v>9536</v>
          </cell>
          <cell r="AD34">
            <v>9529</v>
          </cell>
          <cell r="AE34">
            <v>9525</v>
          </cell>
          <cell r="AF34">
            <v>9522</v>
          </cell>
          <cell r="AG34">
            <v>9520</v>
          </cell>
          <cell r="AH34">
            <v>9522</v>
          </cell>
          <cell r="AI34">
            <v>9528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1041</v>
          </cell>
          <cell r="F35">
            <v>1040</v>
          </cell>
          <cell r="G35">
            <v>1040</v>
          </cell>
          <cell r="H35">
            <v>1044</v>
          </cell>
          <cell r="I35">
            <v>1052</v>
          </cell>
          <cell r="J35">
            <v>1061</v>
          </cell>
          <cell r="K35">
            <v>1065</v>
          </cell>
          <cell r="L35">
            <v>1069</v>
          </cell>
          <cell r="M35">
            <v>1073</v>
          </cell>
          <cell r="N35">
            <v>1074</v>
          </cell>
          <cell r="O35">
            <v>1074</v>
          </cell>
          <cell r="P35">
            <v>1075</v>
          </cell>
          <cell r="T35">
            <v>32</v>
          </cell>
          <cell r="U35" t="str">
            <v>Commercial</v>
          </cell>
          <cell r="V35"/>
          <cell r="W35"/>
          <cell r="X35">
            <v>1039</v>
          </cell>
          <cell r="Y35">
            <v>1038</v>
          </cell>
          <cell r="Z35">
            <v>1035</v>
          </cell>
          <cell r="AA35">
            <v>1035</v>
          </cell>
          <cell r="AB35">
            <v>1040</v>
          </cell>
          <cell r="AC35">
            <v>1048</v>
          </cell>
          <cell r="AD35">
            <v>1053</v>
          </cell>
          <cell r="AE35">
            <v>1058</v>
          </cell>
          <cell r="AF35">
            <v>1061</v>
          </cell>
          <cell r="AG35">
            <v>1062</v>
          </cell>
          <cell r="AH35">
            <v>1061</v>
          </cell>
          <cell r="AI35">
            <v>1059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21</v>
          </cell>
          <cell r="F36">
            <v>21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21</v>
          </cell>
          <cell r="L36">
            <v>21</v>
          </cell>
          <cell r="M36">
            <v>21</v>
          </cell>
          <cell r="N36">
            <v>22</v>
          </cell>
          <cell r="O36">
            <v>22</v>
          </cell>
          <cell r="P36">
            <v>22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10</v>
          </cell>
          <cell r="Y36">
            <v>14</v>
          </cell>
          <cell r="Z36">
            <v>15</v>
          </cell>
          <cell r="AA36">
            <v>15</v>
          </cell>
          <cell r="AB36">
            <v>16</v>
          </cell>
          <cell r="AC36">
            <v>16</v>
          </cell>
          <cell r="AD36">
            <v>16</v>
          </cell>
          <cell r="AE36">
            <v>16</v>
          </cell>
          <cell r="AF36">
            <v>17</v>
          </cell>
          <cell r="AG36">
            <v>17</v>
          </cell>
          <cell r="AH36">
            <v>17</v>
          </cell>
          <cell r="AI36">
            <v>18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10693</v>
          </cell>
          <cell r="F38">
            <v>10704</v>
          </cell>
          <cell r="G38">
            <v>10707</v>
          </cell>
          <cell r="H38">
            <v>10702</v>
          </cell>
          <cell r="I38">
            <v>10700</v>
          </cell>
          <cell r="J38">
            <v>10703</v>
          </cell>
          <cell r="K38">
            <v>10703</v>
          </cell>
          <cell r="L38">
            <v>10704</v>
          </cell>
          <cell r="M38">
            <v>10705</v>
          </cell>
          <cell r="N38">
            <v>10705</v>
          </cell>
          <cell r="O38">
            <v>10706</v>
          </cell>
          <cell r="P38">
            <v>10712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10627</v>
          </cell>
          <cell r="Y38">
            <v>10631</v>
          </cell>
          <cell r="Z38">
            <v>10618</v>
          </cell>
          <cell r="AA38">
            <v>10609</v>
          </cell>
          <cell r="AB38">
            <v>10603</v>
          </cell>
          <cell r="AC38">
            <v>10600</v>
          </cell>
          <cell r="AD38">
            <v>10598</v>
          </cell>
          <cell r="AE38">
            <v>10599</v>
          </cell>
          <cell r="AF38">
            <v>10600</v>
          </cell>
          <cell r="AG38">
            <v>10599</v>
          </cell>
          <cell r="AH38">
            <v>10600</v>
          </cell>
          <cell r="AI38">
            <v>10605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68205</v>
          </cell>
          <cell r="F41">
            <v>114325</v>
          </cell>
          <cell r="G41">
            <v>149763</v>
          </cell>
          <cell r="H41">
            <v>182256</v>
          </cell>
          <cell r="I41">
            <v>194544</v>
          </cell>
          <cell r="J41">
            <v>200848</v>
          </cell>
          <cell r="K41">
            <v>207073</v>
          </cell>
          <cell r="L41">
            <v>212595</v>
          </cell>
          <cell r="M41">
            <v>218118</v>
          </cell>
          <cell r="N41">
            <v>223786</v>
          </cell>
          <cell r="O41">
            <v>239531</v>
          </cell>
          <cell r="P41">
            <v>276425</v>
          </cell>
          <cell r="T41">
            <v>38</v>
          </cell>
          <cell r="U41" t="str">
            <v>Residential</v>
          </cell>
          <cell r="W41"/>
          <cell r="X41">
            <v>42585</v>
          </cell>
          <cell r="Y41">
            <v>80974</v>
          </cell>
          <cell r="Z41">
            <v>112589</v>
          </cell>
          <cell r="AA41">
            <v>135743</v>
          </cell>
          <cell r="AB41">
            <v>144339</v>
          </cell>
          <cell r="AC41">
            <v>151248</v>
          </cell>
          <cell r="AD41">
            <v>157364</v>
          </cell>
          <cell r="AE41">
            <v>162985</v>
          </cell>
          <cell r="AF41">
            <v>168916</v>
          </cell>
          <cell r="AG41">
            <v>174663</v>
          </cell>
          <cell r="AH41">
            <v>189457</v>
          </cell>
          <cell r="AI41">
            <v>220407</v>
          </cell>
        </row>
        <row r="42">
          <cell r="A42">
            <v>39</v>
          </cell>
          <cell r="B42" t="str">
            <v>Commercial</v>
          </cell>
          <cell r="D42"/>
          <cell r="E42">
            <v>45386</v>
          </cell>
          <cell r="F42">
            <v>80541</v>
          </cell>
          <cell r="G42">
            <v>111540</v>
          </cell>
          <cell r="H42">
            <v>144266</v>
          </cell>
          <cell r="I42">
            <v>171380</v>
          </cell>
          <cell r="J42">
            <v>197441</v>
          </cell>
          <cell r="K42">
            <v>228374</v>
          </cell>
          <cell r="L42">
            <v>256310</v>
          </cell>
          <cell r="M42">
            <v>284611</v>
          </cell>
          <cell r="N42">
            <v>304353</v>
          </cell>
          <cell r="O42">
            <v>322185</v>
          </cell>
          <cell r="P42">
            <v>345958</v>
          </cell>
          <cell r="T42">
            <v>39</v>
          </cell>
          <cell r="U42" t="str">
            <v>Commercial</v>
          </cell>
          <cell r="W42"/>
          <cell r="X42">
            <v>30879</v>
          </cell>
          <cell r="Y42">
            <v>61425</v>
          </cell>
          <cell r="Z42">
            <v>89759</v>
          </cell>
          <cell r="AA42">
            <v>118374</v>
          </cell>
          <cell r="AB42">
            <v>139354</v>
          </cell>
          <cell r="AC42">
            <v>166976</v>
          </cell>
          <cell r="AD42">
            <v>200042</v>
          </cell>
          <cell r="AE42">
            <v>232004</v>
          </cell>
          <cell r="AF42">
            <v>263491</v>
          </cell>
          <cell r="AG42">
            <v>287106</v>
          </cell>
          <cell r="AH42">
            <v>307960</v>
          </cell>
          <cell r="AI42">
            <v>333243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16346</v>
          </cell>
          <cell r="F43">
            <v>32218</v>
          </cell>
          <cell r="G43">
            <v>50195</v>
          </cell>
          <cell r="H43">
            <v>70039</v>
          </cell>
          <cell r="I43">
            <v>85230</v>
          </cell>
          <cell r="J43">
            <v>108794</v>
          </cell>
          <cell r="K43">
            <v>125298</v>
          </cell>
          <cell r="L43">
            <v>142481</v>
          </cell>
          <cell r="M43">
            <v>157243</v>
          </cell>
          <cell r="N43">
            <v>178883</v>
          </cell>
          <cell r="O43">
            <v>205718</v>
          </cell>
          <cell r="P43">
            <v>227005</v>
          </cell>
          <cell r="T43">
            <v>40</v>
          </cell>
          <cell r="U43" t="str">
            <v xml:space="preserve">Industrial </v>
          </cell>
          <cell r="W43"/>
          <cell r="X43">
            <v>14695</v>
          </cell>
          <cell r="Y43">
            <v>28246</v>
          </cell>
          <cell r="Z43">
            <v>45030</v>
          </cell>
          <cell r="AA43">
            <v>61208</v>
          </cell>
          <cell r="AB43">
            <v>81788</v>
          </cell>
          <cell r="AC43">
            <v>98678</v>
          </cell>
          <cell r="AD43">
            <v>114361</v>
          </cell>
          <cell r="AE43">
            <v>129933</v>
          </cell>
          <cell r="AF43">
            <v>148776</v>
          </cell>
          <cell r="AG43">
            <v>168448</v>
          </cell>
          <cell r="AH43">
            <v>188653</v>
          </cell>
          <cell r="AI43">
            <v>208693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129937</v>
          </cell>
          <cell r="F45">
            <v>227084</v>
          </cell>
          <cell r="G45">
            <v>311498</v>
          </cell>
          <cell r="H45">
            <v>396561</v>
          </cell>
          <cell r="I45">
            <v>451154</v>
          </cell>
          <cell r="J45">
            <v>507083</v>
          </cell>
          <cell r="K45">
            <v>560745</v>
          </cell>
          <cell r="L45">
            <v>611386</v>
          </cell>
          <cell r="M45">
            <v>659972</v>
          </cell>
          <cell r="N45">
            <v>707022</v>
          </cell>
          <cell r="O45">
            <v>767434</v>
          </cell>
          <cell r="P45">
            <v>849388</v>
          </cell>
          <cell r="T45">
            <v>42</v>
          </cell>
          <cell r="U45" t="str">
            <v>Total Volume</v>
          </cell>
          <cell r="V45"/>
          <cell r="W45"/>
          <cell r="X45">
            <v>88159</v>
          </cell>
          <cell r="Y45">
            <v>170645</v>
          </cell>
          <cell r="Z45">
            <v>247378</v>
          </cell>
          <cell r="AA45">
            <v>315325</v>
          </cell>
          <cell r="AB45">
            <v>365481</v>
          </cell>
          <cell r="AC45">
            <v>416902</v>
          </cell>
          <cell r="AD45">
            <v>471767</v>
          </cell>
          <cell r="AE45">
            <v>524922</v>
          </cell>
          <cell r="AF45">
            <v>581183</v>
          </cell>
          <cell r="AG45">
            <v>630217</v>
          </cell>
          <cell r="AH45">
            <v>686070</v>
          </cell>
          <cell r="AI45">
            <v>762343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71599</v>
          </cell>
          <cell r="F48">
            <v>119838</v>
          </cell>
          <cell r="G48">
            <v>156928</v>
          </cell>
          <cell r="H48">
            <v>190806</v>
          </cell>
          <cell r="I48">
            <v>203619</v>
          </cell>
          <cell r="J48">
            <v>210212</v>
          </cell>
          <cell r="K48">
            <v>216718</v>
          </cell>
          <cell r="L48">
            <v>222470</v>
          </cell>
          <cell r="M48">
            <v>228239</v>
          </cell>
          <cell r="N48">
            <v>234135</v>
          </cell>
          <cell r="O48">
            <v>250533</v>
          </cell>
          <cell r="P48">
            <v>289010</v>
          </cell>
          <cell r="T48">
            <v>45</v>
          </cell>
          <cell r="U48" t="str">
            <v>Residential</v>
          </cell>
          <cell r="W48"/>
          <cell r="X48">
            <v>44726</v>
          </cell>
          <cell r="Y48">
            <v>84993</v>
          </cell>
          <cell r="Z48">
            <v>118128</v>
          </cell>
          <cell r="AA48">
            <v>142345</v>
          </cell>
          <cell r="AB48">
            <v>151324</v>
          </cell>
          <cell r="AC48">
            <v>158561</v>
          </cell>
          <cell r="AD48">
            <v>164972</v>
          </cell>
          <cell r="AE48">
            <v>170840</v>
          </cell>
          <cell r="AF48">
            <v>177050</v>
          </cell>
          <cell r="AG48">
            <v>183079</v>
          </cell>
          <cell r="AH48">
            <v>198603</v>
          </cell>
          <cell r="AI48">
            <v>231124</v>
          </cell>
        </row>
        <row r="49">
          <cell r="A49">
            <v>46</v>
          </cell>
          <cell r="B49" t="str">
            <v>Commercial</v>
          </cell>
          <cell r="D49"/>
          <cell r="E49">
            <v>47644</v>
          </cell>
          <cell r="F49">
            <v>84414</v>
          </cell>
          <cell r="G49">
            <v>116858</v>
          </cell>
          <cell r="H49">
            <v>150979</v>
          </cell>
          <cell r="I49">
            <v>179251</v>
          </cell>
          <cell r="J49">
            <v>206507</v>
          </cell>
          <cell r="K49">
            <v>238839</v>
          </cell>
          <cell r="L49">
            <v>267940</v>
          </cell>
          <cell r="M49">
            <v>297502</v>
          </cell>
          <cell r="N49">
            <v>318038</v>
          </cell>
          <cell r="O49">
            <v>336610</v>
          </cell>
          <cell r="P49">
            <v>361403</v>
          </cell>
          <cell r="T49">
            <v>46</v>
          </cell>
          <cell r="U49" t="str">
            <v>Commercial</v>
          </cell>
          <cell r="W49"/>
          <cell r="X49">
            <v>32431</v>
          </cell>
          <cell r="Y49">
            <v>64471</v>
          </cell>
          <cell r="Z49">
            <v>94168</v>
          </cell>
          <cell r="AA49">
            <v>124097</v>
          </cell>
          <cell r="AB49">
            <v>146012</v>
          </cell>
          <cell r="AC49">
            <v>174945</v>
          </cell>
          <cell r="AD49">
            <v>209606</v>
          </cell>
          <cell r="AE49">
            <v>242970</v>
          </cell>
          <cell r="AF49">
            <v>275936</v>
          </cell>
          <cell r="AG49">
            <v>300711</v>
          </cell>
          <cell r="AH49">
            <v>322594</v>
          </cell>
          <cell r="AI49">
            <v>349161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17159</v>
          </cell>
          <cell r="F50">
            <v>33760</v>
          </cell>
          <cell r="G50">
            <v>52575</v>
          </cell>
          <cell r="H50">
            <v>73265</v>
          </cell>
          <cell r="I50">
            <v>89105</v>
          </cell>
          <cell r="J50">
            <v>113749</v>
          </cell>
          <cell r="K50">
            <v>130999</v>
          </cell>
          <cell r="L50">
            <v>148898</v>
          </cell>
          <cell r="M50">
            <v>164318</v>
          </cell>
          <cell r="N50">
            <v>186829</v>
          </cell>
          <cell r="O50">
            <v>214777</v>
          </cell>
          <cell r="P50">
            <v>236977</v>
          </cell>
          <cell r="T50">
            <v>47</v>
          </cell>
          <cell r="U50" t="str">
            <v xml:space="preserve">Industrial </v>
          </cell>
          <cell r="W50"/>
          <cell r="X50">
            <v>15434</v>
          </cell>
          <cell r="Y50">
            <v>29648</v>
          </cell>
          <cell r="Z50">
            <v>47239</v>
          </cell>
          <cell r="AA50">
            <v>64160</v>
          </cell>
          <cell r="AB50">
            <v>85657</v>
          </cell>
          <cell r="AC50">
            <v>103349</v>
          </cell>
          <cell r="AD50">
            <v>119788</v>
          </cell>
          <cell r="AE50">
            <v>136043</v>
          </cell>
          <cell r="AF50">
            <v>155771</v>
          </cell>
          <cell r="AG50">
            <v>176410</v>
          </cell>
          <cell r="AH50">
            <v>197612</v>
          </cell>
          <cell r="AI50">
            <v>218669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136402</v>
          </cell>
          <cell r="F52">
            <v>238012</v>
          </cell>
          <cell r="G52">
            <v>326361</v>
          </cell>
          <cell r="H52">
            <v>415050</v>
          </cell>
          <cell r="I52">
            <v>471975</v>
          </cell>
          <cell r="J52">
            <v>530468</v>
          </cell>
          <cell r="K52">
            <v>586556</v>
          </cell>
          <cell r="L52">
            <v>639308</v>
          </cell>
          <cell r="M52">
            <v>690059</v>
          </cell>
          <cell r="N52">
            <v>739002</v>
          </cell>
          <cell r="O52">
            <v>801920</v>
          </cell>
          <cell r="P52">
            <v>887390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92591</v>
          </cell>
          <cell r="Y52">
            <v>179112</v>
          </cell>
          <cell r="Z52">
            <v>259535</v>
          </cell>
          <cell r="AA52">
            <v>330602</v>
          </cell>
          <cell r="AB52">
            <v>382993</v>
          </cell>
          <cell r="AC52">
            <v>436855</v>
          </cell>
          <cell r="AD52">
            <v>494366</v>
          </cell>
          <cell r="AE52">
            <v>549853</v>
          </cell>
          <cell r="AF52">
            <v>608757</v>
          </cell>
          <cell r="AG52">
            <v>660200</v>
          </cell>
          <cell r="AH52">
            <v>718809</v>
          </cell>
          <cell r="AI52">
            <v>798954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10789</v>
          </cell>
          <cell r="F55">
            <v>10828</v>
          </cell>
          <cell r="G55">
            <v>10856</v>
          </cell>
          <cell r="H55">
            <v>10888</v>
          </cell>
          <cell r="I55">
            <v>10916</v>
          </cell>
          <cell r="J55">
            <v>10776</v>
          </cell>
          <cell r="K55">
            <v>10718</v>
          </cell>
          <cell r="L55">
            <v>10688</v>
          </cell>
          <cell r="M55">
            <v>10674</v>
          </cell>
          <cell r="N55">
            <v>10671</v>
          </cell>
          <cell r="O55">
            <v>10677</v>
          </cell>
          <cell r="P55">
            <v>10691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92933.264881779818</v>
          </cell>
          <cell r="F56">
            <v>190783.80223190103</v>
          </cell>
          <cell r="G56">
            <v>277771.61482458876</v>
          </cell>
          <cell r="H56">
            <v>351946.31374398817</v>
          </cell>
          <cell r="I56">
            <v>407471.56870247645</v>
          </cell>
          <cell r="J56">
            <v>459865.20288400387</v>
          </cell>
          <cell r="K56">
            <v>513287.0749963292</v>
          </cell>
          <cell r="L56">
            <v>566870.84556075593</v>
          </cell>
          <cell r="M56">
            <v>625663.27823076805</v>
          </cell>
          <cell r="N56">
            <v>683396.8290121496</v>
          </cell>
          <cell r="O56">
            <v>740281.65785841877</v>
          </cell>
          <cell r="P56">
            <v>823682.66782866837</v>
          </cell>
        </row>
        <row r="57">
          <cell r="A57">
            <v>54</v>
          </cell>
          <cell r="B57" t="str">
            <v>Cumulative YTD Budget Volume (Dts) * 1.035</v>
          </cell>
          <cell r="E57">
            <v>96185.9291526421</v>
          </cell>
          <cell r="F57">
            <v>197461.23531001754</v>
          </cell>
          <cell r="G57">
            <v>287493.62134344934</v>
          </cell>
          <cell r="H57">
            <v>364264.43472502776</v>
          </cell>
          <cell r="I57">
            <v>421733.07360706315</v>
          </cell>
          <cell r="J57">
            <v>475960.48498494405</v>
          </cell>
          <cell r="K57">
            <v>531252.12262120075</v>
          </cell>
          <cell r="L57">
            <v>586711.32515538239</v>
          </cell>
          <cell r="M57">
            <v>647561.49296884495</v>
          </cell>
          <cell r="N57">
            <v>707315.71802757494</v>
          </cell>
          <cell r="O57">
            <v>766191.51588346355</v>
          </cell>
          <cell r="P57">
            <v>852511.56120267184</v>
          </cell>
        </row>
      </sheetData>
      <sheetData sheetId="13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16450.25</v>
          </cell>
          <cell r="E5">
            <v>16138</v>
          </cell>
          <cell r="F5">
            <v>16220</v>
          </cell>
          <cell r="G5">
            <v>16311</v>
          </cell>
          <cell r="H5">
            <v>16399</v>
          </cell>
          <cell r="I5">
            <v>16379</v>
          </cell>
          <cell r="J5">
            <v>16395</v>
          </cell>
          <cell r="K5">
            <v>16455</v>
          </cell>
          <cell r="L5">
            <v>16463</v>
          </cell>
          <cell r="M5">
            <v>16533</v>
          </cell>
          <cell r="N5">
            <v>16568</v>
          </cell>
          <cell r="O5">
            <v>16720</v>
          </cell>
          <cell r="P5">
            <v>16822</v>
          </cell>
          <cell r="T5">
            <v>2</v>
          </cell>
          <cell r="U5" t="str">
            <v>Residential</v>
          </cell>
          <cell r="V5">
            <v>15796</v>
          </cell>
          <cell r="W5">
            <v>189548</v>
          </cell>
          <cell r="X5">
            <v>15604</v>
          </cell>
          <cell r="Y5">
            <v>15643</v>
          </cell>
          <cell r="Z5">
            <v>15742</v>
          </cell>
          <cell r="AA5">
            <v>15826</v>
          </cell>
          <cell r="AB5">
            <v>15732</v>
          </cell>
          <cell r="AC5">
            <v>15753</v>
          </cell>
          <cell r="AD5">
            <v>15740</v>
          </cell>
          <cell r="AE5">
            <v>15769</v>
          </cell>
          <cell r="AF5">
            <v>15838</v>
          </cell>
          <cell r="AG5">
            <v>15865</v>
          </cell>
          <cell r="AH5">
            <v>15984</v>
          </cell>
          <cell r="AI5">
            <v>16052</v>
          </cell>
        </row>
        <row r="6">
          <cell r="A6">
            <v>3</v>
          </cell>
          <cell r="B6" t="str">
            <v>Commercial</v>
          </cell>
          <cell r="C6"/>
          <cell r="D6">
            <v>1519.1666666666667</v>
          </cell>
          <cell r="E6">
            <v>1498</v>
          </cell>
          <cell r="F6">
            <v>1502</v>
          </cell>
          <cell r="G6">
            <v>1504</v>
          </cell>
          <cell r="H6">
            <v>1514</v>
          </cell>
          <cell r="I6">
            <v>1520</v>
          </cell>
          <cell r="J6">
            <v>1516</v>
          </cell>
          <cell r="K6">
            <v>1507</v>
          </cell>
          <cell r="L6">
            <v>1507</v>
          </cell>
          <cell r="M6">
            <v>1512</v>
          </cell>
          <cell r="N6">
            <v>1520</v>
          </cell>
          <cell r="O6">
            <v>1528</v>
          </cell>
          <cell r="P6">
            <v>1602</v>
          </cell>
          <cell r="T6">
            <v>3</v>
          </cell>
          <cell r="U6" t="str">
            <v>Commercial</v>
          </cell>
          <cell r="V6">
            <v>1485</v>
          </cell>
          <cell r="W6">
            <v>17820</v>
          </cell>
          <cell r="X6">
            <v>1465</v>
          </cell>
          <cell r="Y6">
            <v>1473</v>
          </cell>
          <cell r="Z6">
            <v>1468</v>
          </cell>
          <cell r="AA6">
            <v>1476</v>
          </cell>
          <cell r="AB6">
            <v>1492</v>
          </cell>
          <cell r="AC6">
            <v>1483</v>
          </cell>
          <cell r="AD6">
            <v>1480</v>
          </cell>
          <cell r="AE6">
            <v>1490</v>
          </cell>
          <cell r="AF6">
            <v>1496</v>
          </cell>
          <cell r="AG6">
            <v>1494</v>
          </cell>
          <cell r="AH6">
            <v>1503</v>
          </cell>
          <cell r="AI6">
            <v>1500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16.333333333333332</v>
          </cell>
          <cell r="E7">
            <v>15</v>
          </cell>
          <cell r="F7">
            <v>15</v>
          </cell>
          <cell r="G7">
            <v>15</v>
          </cell>
          <cell r="H7">
            <v>15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17</v>
          </cell>
          <cell r="P7">
            <v>17</v>
          </cell>
          <cell r="T7">
            <v>4</v>
          </cell>
          <cell r="U7" t="str">
            <v xml:space="preserve">Industrial </v>
          </cell>
          <cell r="V7">
            <v>15</v>
          </cell>
          <cell r="W7">
            <v>180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14</v>
          </cell>
          <cell r="AF7">
            <v>15</v>
          </cell>
          <cell r="AG7">
            <v>15</v>
          </cell>
          <cell r="AH7">
            <v>16</v>
          </cell>
          <cell r="AI7">
            <v>17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17985.75</v>
          </cell>
          <cell r="E9">
            <v>17651</v>
          </cell>
          <cell r="F9">
            <v>17737</v>
          </cell>
          <cell r="G9">
            <v>17830</v>
          </cell>
          <cell r="H9">
            <v>17928</v>
          </cell>
          <cell r="I9">
            <v>17916</v>
          </cell>
          <cell r="J9">
            <v>17928</v>
          </cell>
          <cell r="K9">
            <v>17979</v>
          </cell>
          <cell r="L9">
            <v>17987</v>
          </cell>
          <cell r="M9">
            <v>18062</v>
          </cell>
          <cell r="N9">
            <v>18105</v>
          </cell>
          <cell r="O9">
            <v>18265</v>
          </cell>
          <cell r="P9">
            <v>18441</v>
          </cell>
          <cell r="T9">
            <v>6</v>
          </cell>
          <cell r="U9" t="str">
            <v>Total customers</v>
          </cell>
          <cell r="V9">
            <v>17296</v>
          </cell>
          <cell r="W9">
            <v>207548</v>
          </cell>
          <cell r="X9">
            <v>17084</v>
          </cell>
          <cell r="Y9">
            <v>17131</v>
          </cell>
          <cell r="Z9">
            <v>17225</v>
          </cell>
          <cell r="AA9">
            <v>17317</v>
          </cell>
          <cell r="AB9">
            <v>17239</v>
          </cell>
          <cell r="AC9">
            <v>17250</v>
          </cell>
          <cell r="AD9">
            <v>17234</v>
          </cell>
          <cell r="AE9">
            <v>17273</v>
          </cell>
          <cell r="AF9">
            <v>17349</v>
          </cell>
          <cell r="AG9">
            <v>17374</v>
          </cell>
          <cell r="AH9">
            <v>17503</v>
          </cell>
          <cell r="AI9">
            <v>17569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359398.38348427304</v>
          </cell>
          <cell r="E12">
            <v>58513.487194468791</v>
          </cell>
          <cell r="F12">
            <v>37865.907099035932</v>
          </cell>
          <cell r="G12">
            <v>40369.364105560424</v>
          </cell>
          <cell r="H12">
            <v>37853.92930178206</v>
          </cell>
          <cell r="I12">
            <v>24110.234686921802</v>
          </cell>
          <cell r="J12">
            <v>21293.212581556141</v>
          </cell>
          <cell r="K12">
            <v>17416.593631317559</v>
          </cell>
          <cell r="L12">
            <v>17066.510857921901</v>
          </cell>
          <cell r="M12">
            <v>17178.011490894925</v>
          </cell>
          <cell r="N12">
            <v>16925.893465770765</v>
          </cell>
          <cell r="O12">
            <v>29335.378323108383</v>
          </cell>
          <cell r="P12">
            <v>41469.860745934362</v>
          </cell>
          <cell r="T12">
            <v>9</v>
          </cell>
          <cell r="U12" t="str">
            <v>Residential</v>
          </cell>
          <cell r="W12">
            <v>329246.37257766095</v>
          </cell>
          <cell r="X12">
            <v>41014.31492842536</v>
          </cell>
          <cell r="Y12">
            <v>36466.744571039046</v>
          </cell>
          <cell r="Z12">
            <v>42267.796280066221</v>
          </cell>
          <cell r="AA12">
            <v>34340.636868244226</v>
          </cell>
          <cell r="AB12">
            <v>20836.108676599473</v>
          </cell>
          <cell r="AC12">
            <v>18842.827928717499</v>
          </cell>
          <cell r="AD12">
            <v>17115.882753919563</v>
          </cell>
          <cell r="AE12">
            <v>15449.897750511247</v>
          </cell>
          <cell r="AF12">
            <v>18978.284156198268</v>
          </cell>
          <cell r="AG12">
            <v>18197.000681663259</v>
          </cell>
          <cell r="AH12">
            <v>30811.374038367903</v>
          </cell>
          <cell r="AI12">
            <v>34925.50394390885</v>
          </cell>
        </row>
        <row r="13">
          <cell r="A13">
            <v>10</v>
          </cell>
          <cell r="B13" t="str">
            <v>Commercial</v>
          </cell>
          <cell r="C13"/>
          <cell r="D13">
            <v>4596092.6088226698</v>
          </cell>
          <cell r="E13">
            <v>428117.92774369463</v>
          </cell>
          <cell r="F13">
            <v>378326.41932028433</v>
          </cell>
          <cell r="G13">
            <v>397114.03252507548</v>
          </cell>
          <cell r="H13">
            <v>382393.90398286103</v>
          </cell>
          <cell r="I13">
            <v>360169.24724900187</v>
          </cell>
          <cell r="J13">
            <v>360236.92667250946</v>
          </cell>
          <cell r="K13">
            <v>361729.76920829678</v>
          </cell>
          <cell r="L13">
            <v>387291.84925503941</v>
          </cell>
          <cell r="M13">
            <v>379223.00126594602</v>
          </cell>
          <cell r="N13">
            <v>380635.31015678257</v>
          </cell>
          <cell r="O13">
            <v>390483.98091342876</v>
          </cell>
          <cell r="P13">
            <v>390370.24052974972</v>
          </cell>
          <cell r="T13">
            <v>10</v>
          </cell>
          <cell r="U13" t="str">
            <v>Commercial</v>
          </cell>
          <cell r="W13">
            <v>4993366.0531697348</v>
          </cell>
          <cell r="X13">
            <v>493630.34375304315</v>
          </cell>
          <cell r="Y13">
            <v>458855.58476969518</v>
          </cell>
          <cell r="Z13">
            <v>472069.04275002435</v>
          </cell>
          <cell r="AA13">
            <v>448234.20001947606</v>
          </cell>
          <cell r="AB13">
            <v>435075.85938260786</v>
          </cell>
          <cell r="AC13">
            <v>416146.7523614763</v>
          </cell>
          <cell r="AD13">
            <v>447703.2817216866</v>
          </cell>
          <cell r="AE13">
            <v>422174.21365274128</v>
          </cell>
          <cell r="AF13">
            <v>273010.0301879443</v>
          </cell>
          <cell r="AG13">
            <v>366608.14100691403</v>
          </cell>
          <cell r="AH13">
            <v>366049.07975460123</v>
          </cell>
          <cell r="AI13">
            <v>393809.52380952379</v>
          </cell>
        </row>
        <row r="14">
          <cell r="A14">
            <v>11</v>
          </cell>
          <cell r="B14" t="str">
            <v xml:space="preserve">Industrial </v>
          </cell>
          <cell r="C14"/>
          <cell r="D14">
            <v>19338137.59859772</v>
          </cell>
          <cell r="E14">
            <v>1103223.7803096699</v>
          </cell>
          <cell r="F14">
            <v>793762.29428376665</v>
          </cell>
          <cell r="G14">
            <v>1088410.4586619923</v>
          </cell>
          <cell r="H14">
            <v>934909.33878663939</v>
          </cell>
          <cell r="I14">
            <v>931591.39156685164</v>
          </cell>
          <cell r="J14">
            <v>1737492.9399162529</v>
          </cell>
          <cell r="K14">
            <v>2089263.5115395852</v>
          </cell>
          <cell r="L14">
            <v>2135557.9900671924</v>
          </cell>
          <cell r="M14">
            <v>2118314.8310448923</v>
          </cell>
          <cell r="N14">
            <v>1991621.2873697537</v>
          </cell>
          <cell r="O14">
            <v>2068151.0371019572</v>
          </cell>
          <cell r="P14">
            <v>2345838.7379491674</v>
          </cell>
          <cell r="T14">
            <v>11</v>
          </cell>
          <cell r="U14" t="str">
            <v xml:space="preserve">Industrial </v>
          </cell>
          <cell r="W14">
            <v>11244275.878858702</v>
          </cell>
          <cell r="X14">
            <v>1146762.8785665596</v>
          </cell>
          <cell r="Y14">
            <v>940021.61846333626</v>
          </cell>
          <cell r="Z14">
            <v>1085242.9642613691</v>
          </cell>
          <cell r="AA14">
            <v>869717.30450871552</v>
          </cell>
          <cell r="AB14">
            <v>1077275.8788587009</v>
          </cell>
          <cell r="AC14">
            <v>839270.71769403061</v>
          </cell>
          <cell r="AD14">
            <v>882172.46080436266</v>
          </cell>
          <cell r="AE14">
            <v>841585.15921706101</v>
          </cell>
          <cell r="AF14">
            <v>604164.5729866589</v>
          </cell>
          <cell r="AG14">
            <v>947170.31843412213</v>
          </cell>
          <cell r="AH14">
            <v>905382.31570746913</v>
          </cell>
          <cell r="AI14">
            <v>1105509.6893563152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24293628.590904664</v>
          </cell>
          <cell r="E16">
            <v>1589855.1952478334</v>
          </cell>
          <cell r="F16">
            <v>1209954.620703087</v>
          </cell>
          <cell r="G16">
            <v>1525893.8552926283</v>
          </cell>
          <cell r="H16">
            <v>1355157.1720712825</v>
          </cell>
          <cell r="I16">
            <v>1315870.8735027753</v>
          </cell>
          <cell r="J16">
            <v>2119023.0791703183</v>
          </cell>
          <cell r="K16">
            <v>2468409.8743791995</v>
          </cell>
          <cell r="L16">
            <v>2539916.3501801537</v>
          </cell>
          <cell r="M16">
            <v>2514715.8438017331</v>
          </cell>
          <cell r="N16">
            <v>2389182.4909923072</v>
          </cell>
          <cell r="O16">
            <v>2487970.3963384945</v>
          </cell>
          <cell r="P16">
            <v>2777678.8392248517</v>
          </cell>
          <cell r="T16">
            <v>13</v>
          </cell>
          <cell r="U16" t="str">
            <v>Total Deliveries</v>
          </cell>
          <cell r="V16"/>
          <cell r="W16">
            <v>16566888.304606099</v>
          </cell>
          <cell r="X16">
            <v>1681407.5372480282</v>
          </cell>
          <cell r="Y16">
            <v>1435343.9478040705</v>
          </cell>
          <cell r="Z16">
            <v>1599579.8032914596</v>
          </cell>
          <cell r="AA16">
            <v>1352292.1413964359</v>
          </cell>
          <cell r="AB16">
            <v>1533187.8469179082</v>
          </cell>
          <cell r="AC16">
            <v>1274260.2979842243</v>
          </cell>
          <cell r="AD16">
            <v>1346991.6252799688</v>
          </cell>
          <cell r="AE16">
            <v>1279209.2706203135</v>
          </cell>
          <cell r="AF16">
            <v>896152.88733080146</v>
          </cell>
          <cell r="AG16">
            <v>1331975.4601226994</v>
          </cell>
          <cell r="AH16">
            <v>1302242.7695004381</v>
          </cell>
          <cell r="AI16">
            <v>1534244.7171097477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369067</v>
          </cell>
          <cell r="E21">
            <v>60088</v>
          </cell>
          <cell r="F21">
            <v>38885</v>
          </cell>
          <cell r="G21">
            <v>41455</v>
          </cell>
          <cell r="H21">
            <v>38872</v>
          </cell>
          <cell r="I21">
            <v>24759</v>
          </cell>
          <cell r="J21">
            <v>21866</v>
          </cell>
          <cell r="K21">
            <v>17885</v>
          </cell>
          <cell r="L21">
            <v>17526</v>
          </cell>
          <cell r="M21">
            <v>17640</v>
          </cell>
          <cell r="N21">
            <v>17381</v>
          </cell>
          <cell r="O21">
            <v>30125</v>
          </cell>
          <cell r="P21">
            <v>42585</v>
          </cell>
          <cell r="T21">
            <v>18</v>
          </cell>
          <cell r="U21" t="str">
            <v>Residential</v>
          </cell>
          <cell r="W21">
            <v>338105</v>
          </cell>
          <cell r="X21">
            <v>42118</v>
          </cell>
          <cell r="Y21">
            <v>37448</v>
          </cell>
          <cell r="Z21">
            <v>43405</v>
          </cell>
          <cell r="AA21">
            <v>35264</v>
          </cell>
          <cell r="AB21">
            <v>21397</v>
          </cell>
          <cell r="AC21">
            <v>19350</v>
          </cell>
          <cell r="AD21">
            <v>17576</v>
          </cell>
          <cell r="AE21">
            <v>15866</v>
          </cell>
          <cell r="AF21">
            <v>19489</v>
          </cell>
          <cell r="AG21">
            <v>18687</v>
          </cell>
          <cell r="AH21">
            <v>31640</v>
          </cell>
          <cell r="AI21">
            <v>35865</v>
          </cell>
        </row>
        <row r="22">
          <cell r="A22">
            <v>19</v>
          </cell>
          <cell r="B22" t="str">
            <v>Commercial</v>
          </cell>
          <cell r="D22">
            <v>4719725</v>
          </cell>
          <cell r="E22">
            <v>439634</v>
          </cell>
          <cell r="F22">
            <v>388503</v>
          </cell>
          <cell r="G22">
            <v>407796</v>
          </cell>
          <cell r="H22">
            <v>392680</v>
          </cell>
          <cell r="I22">
            <v>369858</v>
          </cell>
          <cell r="J22">
            <v>369927</v>
          </cell>
          <cell r="K22">
            <v>371460</v>
          </cell>
          <cell r="L22">
            <v>397710</v>
          </cell>
          <cell r="M22">
            <v>389424</v>
          </cell>
          <cell r="N22">
            <v>390874</v>
          </cell>
          <cell r="O22">
            <v>400988</v>
          </cell>
          <cell r="P22">
            <v>400871</v>
          </cell>
          <cell r="T22">
            <v>19</v>
          </cell>
          <cell r="U22" t="str">
            <v>Commercial</v>
          </cell>
          <cell r="W22">
            <v>5127689</v>
          </cell>
          <cell r="X22">
            <v>506909</v>
          </cell>
          <cell r="Y22">
            <v>471199</v>
          </cell>
          <cell r="Z22">
            <v>484768</v>
          </cell>
          <cell r="AA22">
            <v>460292</v>
          </cell>
          <cell r="AB22">
            <v>446779</v>
          </cell>
          <cell r="AC22">
            <v>427341</v>
          </cell>
          <cell r="AD22">
            <v>459747</v>
          </cell>
          <cell r="AE22">
            <v>433531</v>
          </cell>
          <cell r="AF22">
            <v>280354</v>
          </cell>
          <cell r="AG22">
            <v>376470</v>
          </cell>
          <cell r="AH22">
            <v>375896</v>
          </cell>
          <cell r="AI22">
            <v>404403</v>
          </cell>
        </row>
        <row r="23">
          <cell r="A23">
            <v>20</v>
          </cell>
          <cell r="B23" t="str">
            <v xml:space="preserve">Industrial </v>
          </cell>
          <cell r="D23">
            <v>19858336</v>
          </cell>
          <cell r="E23">
            <v>1132901</v>
          </cell>
          <cell r="F23">
            <v>815115</v>
          </cell>
          <cell r="G23">
            <v>1117689</v>
          </cell>
          <cell r="H23">
            <v>960058</v>
          </cell>
          <cell r="I23">
            <v>956651</v>
          </cell>
          <cell r="J23">
            <v>1784232</v>
          </cell>
          <cell r="K23">
            <v>2145465</v>
          </cell>
          <cell r="L23">
            <v>2193005</v>
          </cell>
          <cell r="M23">
            <v>2175298</v>
          </cell>
          <cell r="N23">
            <v>2045196</v>
          </cell>
          <cell r="O23">
            <v>2123784</v>
          </cell>
          <cell r="P23">
            <v>2408942</v>
          </cell>
          <cell r="T23">
            <v>20</v>
          </cell>
          <cell r="U23" t="str">
            <v xml:space="preserve">Industrial </v>
          </cell>
          <cell r="W23">
            <v>11546748</v>
          </cell>
          <cell r="X23">
            <v>1177611</v>
          </cell>
          <cell r="Y23">
            <v>965308</v>
          </cell>
          <cell r="Z23">
            <v>1114436</v>
          </cell>
          <cell r="AA23">
            <v>893113</v>
          </cell>
          <cell r="AB23">
            <v>1106255</v>
          </cell>
          <cell r="AC23">
            <v>861847</v>
          </cell>
          <cell r="AD23">
            <v>905903</v>
          </cell>
          <cell r="AE23">
            <v>864224</v>
          </cell>
          <cell r="AF23">
            <v>620417</v>
          </cell>
          <cell r="AG23">
            <v>972649</v>
          </cell>
          <cell r="AH23">
            <v>929737</v>
          </cell>
          <cell r="AI23">
            <v>1135248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24947128</v>
          </cell>
          <cell r="E25">
            <v>1632623</v>
          </cell>
          <cell r="F25">
            <v>1242503</v>
          </cell>
          <cell r="G25">
            <v>1566940</v>
          </cell>
          <cell r="H25">
            <v>1391610</v>
          </cell>
          <cell r="I25">
            <v>1351268</v>
          </cell>
          <cell r="J25">
            <v>2176025</v>
          </cell>
          <cell r="K25">
            <v>2534810</v>
          </cell>
          <cell r="L25">
            <v>2608241</v>
          </cell>
          <cell r="M25">
            <v>2582362</v>
          </cell>
          <cell r="N25">
            <v>2453451</v>
          </cell>
          <cell r="O25">
            <v>2554897</v>
          </cell>
          <cell r="P25">
            <v>2852398</v>
          </cell>
          <cell r="T25">
            <v>22</v>
          </cell>
          <cell r="U25" t="str">
            <v>Total Deliveries</v>
          </cell>
          <cell r="V25"/>
          <cell r="W25">
            <v>17012542</v>
          </cell>
          <cell r="X25">
            <v>1726638</v>
          </cell>
          <cell r="Y25">
            <v>1473955</v>
          </cell>
          <cell r="Z25">
            <v>1642609</v>
          </cell>
          <cell r="AA25">
            <v>1388669</v>
          </cell>
          <cell r="AB25">
            <v>1574431</v>
          </cell>
          <cell r="AC25">
            <v>1308538</v>
          </cell>
          <cell r="AD25">
            <v>1383226</v>
          </cell>
          <cell r="AE25">
            <v>1313621</v>
          </cell>
          <cell r="AF25">
            <v>920260</v>
          </cell>
          <cell r="AG25">
            <v>1367806</v>
          </cell>
          <cell r="AH25">
            <v>1337273</v>
          </cell>
          <cell r="AI25">
            <v>1575516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17349</v>
          </cell>
          <cell r="F28">
            <v>17408</v>
          </cell>
          <cell r="G28">
            <v>17495</v>
          </cell>
          <cell r="H28">
            <v>17563</v>
          </cell>
          <cell r="I28">
            <v>17533</v>
          </cell>
          <cell r="J28">
            <v>17477</v>
          </cell>
          <cell r="K28">
            <v>17470</v>
          </cell>
          <cell r="L28">
            <v>17503</v>
          </cell>
          <cell r="M28">
            <v>17535</v>
          </cell>
          <cell r="N28">
            <v>17597</v>
          </cell>
          <cell r="O28">
            <v>17693</v>
          </cell>
          <cell r="P28">
            <v>17820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1387223.196026877</v>
          </cell>
          <cell r="F29">
            <v>1307013.633265167</v>
          </cell>
          <cell r="G29">
            <v>1343516.8955107606</v>
          </cell>
          <cell r="H29">
            <v>2652121.1412990554</v>
          </cell>
          <cell r="I29">
            <v>2842614.47073717</v>
          </cell>
          <cell r="J29">
            <v>2515548.933683903</v>
          </cell>
          <cell r="K29">
            <v>2634230.88908365</v>
          </cell>
          <cell r="L29">
            <v>2541160.7751485053</v>
          </cell>
          <cell r="M29">
            <v>2373158.0484954719</v>
          </cell>
          <cell r="N29">
            <v>2628318.8236439768</v>
          </cell>
          <cell r="O29">
            <v>2610587.6911091637</v>
          </cell>
          <cell r="P29">
            <v>2934587.5937286979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1424540</v>
          </cell>
          <cell r="F30">
            <v>1342172</v>
          </cell>
          <cell r="G30">
            <v>1379658</v>
          </cell>
          <cell r="H30">
            <v>2723463</v>
          </cell>
          <cell r="I30">
            <v>2919081</v>
          </cell>
          <cell r="J30">
            <v>2583217</v>
          </cell>
          <cell r="K30">
            <v>2705092</v>
          </cell>
          <cell r="L30">
            <v>2609518</v>
          </cell>
          <cell r="M30">
            <v>2436996</v>
          </cell>
          <cell r="N30">
            <v>2699021</v>
          </cell>
          <cell r="O30">
            <v>2680813</v>
          </cell>
          <cell r="P30">
            <v>3013528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16138</v>
          </cell>
          <cell r="F34">
            <v>16179</v>
          </cell>
          <cell r="G34">
            <v>16223</v>
          </cell>
          <cell r="H34">
            <v>16267</v>
          </cell>
          <cell r="I34">
            <v>16289</v>
          </cell>
          <cell r="J34">
            <v>16307</v>
          </cell>
          <cell r="K34">
            <v>16328</v>
          </cell>
          <cell r="L34">
            <v>16345</v>
          </cell>
          <cell r="M34">
            <v>16366</v>
          </cell>
          <cell r="N34">
            <v>16386</v>
          </cell>
          <cell r="O34">
            <v>16416</v>
          </cell>
          <cell r="P34">
            <v>16450</v>
          </cell>
          <cell r="T34">
            <v>31</v>
          </cell>
          <cell r="U34" t="str">
            <v>Residential</v>
          </cell>
          <cell r="V34"/>
          <cell r="W34"/>
          <cell r="X34">
            <v>15604</v>
          </cell>
          <cell r="Y34">
            <v>15624</v>
          </cell>
          <cell r="Z34">
            <v>15663</v>
          </cell>
          <cell r="AA34">
            <v>15704</v>
          </cell>
          <cell r="AB34">
            <v>15709</v>
          </cell>
          <cell r="AC34">
            <v>15717</v>
          </cell>
          <cell r="AD34">
            <v>15720</v>
          </cell>
          <cell r="AE34">
            <v>15726</v>
          </cell>
          <cell r="AF34">
            <v>15739</v>
          </cell>
          <cell r="AG34">
            <v>15751</v>
          </cell>
          <cell r="AH34">
            <v>15772</v>
          </cell>
          <cell r="AI34">
            <v>15796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1498</v>
          </cell>
          <cell r="F35">
            <v>1500</v>
          </cell>
          <cell r="G35">
            <v>1501</v>
          </cell>
          <cell r="H35">
            <v>1505</v>
          </cell>
          <cell r="I35">
            <v>1508</v>
          </cell>
          <cell r="J35">
            <v>1509</v>
          </cell>
          <cell r="K35">
            <v>1509</v>
          </cell>
          <cell r="L35">
            <v>1509</v>
          </cell>
          <cell r="M35">
            <v>1509</v>
          </cell>
          <cell r="N35">
            <v>1510</v>
          </cell>
          <cell r="O35">
            <v>1512</v>
          </cell>
          <cell r="P35">
            <v>1519</v>
          </cell>
          <cell r="T35">
            <v>32</v>
          </cell>
          <cell r="U35" t="str">
            <v>Commercial</v>
          </cell>
          <cell r="V35"/>
          <cell r="W35"/>
          <cell r="X35">
            <v>1465</v>
          </cell>
          <cell r="Y35">
            <v>1469</v>
          </cell>
          <cell r="Z35">
            <v>1469</v>
          </cell>
          <cell r="AA35">
            <v>1471</v>
          </cell>
          <cell r="AB35">
            <v>1475</v>
          </cell>
          <cell r="AC35">
            <v>1476</v>
          </cell>
          <cell r="AD35">
            <v>1477</v>
          </cell>
          <cell r="AE35">
            <v>1478</v>
          </cell>
          <cell r="AF35">
            <v>1480</v>
          </cell>
          <cell r="AG35">
            <v>1482</v>
          </cell>
          <cell r="AH35">
            <v>1484</v>
          </cell>
          <cell r="AI35">
            <v>1485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15</v>
          </cell>
          <cell r="F36">
            <v>15</v>
          </cell>
          <cell r="G36">
            <v>15</v>
          </cell>
          <cell r="H36">
            <v>15</v>
          </cell>
          <cell r="I36">
            <v>15</v>
          </cell>
          <cell r="J36">
            <v>16</v>
          </cell>
          <cell r="K36">
            <v>16</v>
          </cell>
          <cell r="L36">
            <v>16</v>
          </cell>
          <cell r="M36">
            <v>16</v>
          </cell>
          <cell r="N36">
            <v>16</v>
          </cell>
          <cell r="O36">
            <v>16</v>
          </cell>
          <cell r="P36">
            <v>16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15</v>
          </cell>
          <cell r="Y36">
            <v>15</v>
          </cell>
          <cell r="Z36">
            <v>15</v>
          </cell>
          <cell r="AA36">
            <v>15</v>
          </cell>
          <cell r="AB36">
            <v>15</v>
          </cell>
          <cell r="AC36">
            <v>15</v>
          </cell>
          <cell r="AD36">
            <v>15</v>
          </cell>
          <cell r="AE36">
            <v>15</v>
          </cell>
          <cell r="AF36">
            <v>15</v>
          </cell>
          <cell r="AG36">
            <v>15</v>
          </cell>
          <cell r="AH36">
            <v>15</v>
          </cell>
          <cell r="AI36">
            <v>15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17651</v>
          </cell>
          <cell r="F38">
            <v>17694</v>
          </cell>
          <cell r="G38">
            <v>17739</v>
          </cell>
          <cell r="H38">
            <v>17787</v>
          </cell>
          <cell r="I38">
            <v>17812</v>
          </cell>
          <cell r="J38">
            <v>17832</v>
          </cell>
          <cell r="K38">
            <v>17853</v>
          </cell>
          <cell r="L38">
            <v>17870</v>
          </cell>
          <cell r="M38">
            <v>17891</v>
          </cell>
          <cell r="N38">
            <v>17912</v>
          </cell>
          <cell r="O38">
            <v>17944</v>
          </cell>
          <cell r="P38">
            <v>17985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17084</v>
          </cell>
          <cell r="Y38">
            <v>17108</v>
          </cell>
          <cell r="Z38">
            <v>17147</v>
          </cell>
          <cell r="AA38">
            <v>17190</v>
          </cell>
          <cell r="AB38">
            <v>17199</v>
          </cell>
          <cell r="AC38">
            <v>17208</v>
          </cell>
          <cell r="AD38">
            <v>17212</v>
          </cell>
          <cell r="AE38">
            <v>17219</v>
          </cell>
          <cell r="AF38">
            <v>17234</v>
          </cell>
          <cell r="AG38">
            <v>17248</v>
          </cell>
          <cell r="AH38">
            <v>17271</v>
          </cell>
          <cell r="AI38">
            <v>17296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58513.487194468791</v>
          </cell>
          <cell r="F41">
            <v>96379.394293504723</v>
          </cell>
          <cell r="G41">
            <v>136748.75839906515</v>
          </cell>
          <cell r="H41">
            <v>174602.68770084722</v>
          </cell>
          <cell r="I41">
            <v>198712.92238776904</v>
          </cell>
          <cell r="J41">
            <v>220006.13496932518</v>
          </cell>
          <cell r="K41">
            <v>237422.72860064273</v>
          </cell>
          <cell r="L41">
            <v>254489.23945856464</v>
          </cell>
          <cell r="M41">
            <v>271667.25094945956</v>
          </cell>
          <cell r="N41">
            <v>288593.14441523032</v>
          </cell>
          <cell r="O41">
            <v>317928.52273833868</v>
          </cell>
          <cell r="P41">
            <v>359398.38348427304</v>
          </cell>
          <cell r="T41">
            <v>38</v>
          </cell>
          <cell r="U41" t="str">
            <v>Residential</v>
          </cell>
          <cell r="W41"/>
          <cell r="X41">
            <v>41014.31492842536</v>
          </cell>
          <cell r="Y41">
            <v>77481.059499464405</v>
          </cell>
          <cell r="Z41">
            <v>119748.85577953063</v>
          </cell>
          <cell r="AA41">
            <v>154089.49264777487</v>
          </cell>
          <cell r="AB41">
            <v>174925.60132437435</v>
          </cell>
          <cell r="AC41">
            <v>193768.42925309186</v>
          </cell>
          <cell r="AD41">
            <v>210884.31200701144</v>
          </cell>
          <cell r="AE41">
            <v>226334.20975752268</v>
          </cell>
          <cell r="AF41">
            <v>245312.49391372094</v>
          </cell>
          <cell r="AG41">
            <v>263509.49459538423</v>
          </cell>
          <cell r="AH41">
            <v>294320.86863375211</v>
          </cell>
          <cell r="AI41">
            <v>329246.37257766095</v>
          </cell>
        </row>
        <row r="42">
          <cell r="A42">
            <v>39</v>
          </cell>
          <cell r="B42" t="str">
            <v>Commercial</v>
          </cell>
          <cell r="D42"/>
          <cell r="E42">
            <v>428117.92774369463</v>
          </cell>
          <cell r="F42">
            <v>806444.3470639789</v>
          </cell>
          <cell r="G42">
            <v>1203558.3795890543</v>
          </cell>
          <cell r="H42">
            <v>1585952.2835719152</v>
          </cell>
          <cell r="I42">
            <v>1946121.5308209171</v>
          </cell>
          <cell r="J42">
            <v>2306358.4574934267</v>
          </cell>
          <cell r="K42">
            <v>2668088.2267017234</v>
          </cell>
          <cell r="L42">
            <v>3055380.0759567628</v>
          </cell>
          <cell r="M42">
            <v>3434603.0772227086</v>
          </cell>
          <cell r="N42">
            <v>3815238.3873794912</v>
          </cell>
          <cell r="O42">
            <v>4205722.3682929203</v>
          </cell>
          <cell r="P42">
            <v>4596092.6088226698</v>
          </cell>
          <cell r="T42">
            <v>39</v>
          </cell>
          <cell r="U42" t="str">
            <v>Commercial</v>
          </cell>
          <cell r="W42"/>
          <cell r="X42">
            <v>493630.34375304315</v>
          </cell>
          <cell r="Y42">
            <v>952485.9285227384</v>
          </cell>
          <cell r="Z42">
            <v>1424554.9712727629</v>
          </cell>
          <cell r="AA42">
            <v>1872789.1712922389</v>
          </cell>
          <cell r="AB42">
            <v>2307865.0306748468</v>
          </cell>
          <cell r="AC42">
            <v>2724011.7830363233</v>
          </cell>
          <cell r="AD42">
            <v>3171715.0647580097</v>
          </cell>
          <cell r="AE42">
            <v>3593889.2784107509</v>
          </cell>
          <cell r="AF42">
            <v>3866899.3085986953</v>
          </cell>
          <cell r="AG42">
            <v>4233507.4496056093</v>
          </cell>
          <cell r="AH42">
            <v>4599556.5293602105</v>
          </cell>
          <cell r="AI42">
            <v>4993366.0531697348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1103223.7803096699</v>
          </cell>
          <cell r="F43">
            <v>1896986.0745934364</v>
          </cell>
          <cell r="G43">
            <v>2985396.533255429</v>
          </cell>
          <cell r="H43">
            <v>3920305.8720420683</v>
          </cell>
          <cell r="I43">
            <v>4851897.2636089195</v>
          </cell>
          <cell r="J43">
            <v>6589390.2035251725</v>
          </cell>
          <cell r="K43">
            <v>8678653.7150647584</v>
          </cell>
          <cell r="L43">
            <v>10814211.705131952</v>
          </cell>
          <cell r="M43">
            <v>12932526.536176844</v>
          </cell>
          <cell r="N43">
            <v>14924147.823546598</v>
          </cell>
          <cell r="O43">
            <v>16992298.860648554</v>
          </cell>
          <cell r="P43">
            <v>19338137.59859772</v>
          </cell>
          <cell r="T43">
            <v>40</v>
          </cell>
          <cell r="U43" t="str">
            <v xml:space="preserve">Industrial </v>
          </cell>
          <cell r="W43"/>
          <cell r="X43">
            <v>1146762.8785665596</v>
          </cell>
          <cell r="Y43">
            <v>2086784.4970298959</v>
          </cell>
          <cell r="Z43">
            <v>3172027.4612912647</v>
          </cell>
          <cell r="AA43">
            <v>4041744.7657999801</v>
          </cell>
          <cell r="AB43">
            <v>5119020.644658681</v>
          </cell>
          <cell r="AC43">
            <v>5958291.3623527121</v>
          </cell>
          <cell r="AD43">
            <v>6840463.8231570749</v>
          </cell>
          <cell r="AE43">
            <v>7682048.9823741354</v>
          </cell>
          <cell r="AF43">
            <v>8286213.5553607941</v>
          </cell>
          <cell r="AG43">
            <v>9233383.873794917</v>
          </cell>
          <cell r="AH43">
            <v>10138766.189502386</v>
          </cell>
          <cell r="AI43">
            <v>11244275.878858702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1589855.1952478334</v>
          </cell>
          <cell r="F45">
            <v>2799809.8159509199</v>
          </cell>
          <cell r="G45">
            <v>4325703.6712435484</v>
          </cell>
          <cell r="H45">
            <v>5680860.8433148302</v>
          </cell>
          <cell r="I45">
            <v>6996731.7168176062</v>
          </cell>
          <cell r="J45">
            <v>9115754.7959879246</v>
          </cell>
          <cell r="K45">
            <v>11584164.670367125</v>
          </cell>
          <cell r="L45">
            <v>14124081.020547278</v>
          </cell>
          <cell r="M45">
            <v>16638796.864349011</v>
          </cell>
          <cell r="N45">
            <v>19027979.355341319</v>
          </cell>
          <cell r="O45">
            <v>21515949.751679812</v>
          </cell>
          <cell r="P45">
            <v>24293628.590904664</v>
          </cell>
          <cell r="T45">
            <v>42</v>
          </cell>
          <cell r="U45" t="str">
            <v>Total Volume</v>
          </cell>
          <cell r="V45"/>
          <cell r="W45"/>
          <cell r="X45">
            <v>1681407.5372480282</v>
          </cell>
          <cell r="Y45">
            <v>3116751.4850520985</v>
          </cell>
          <cell r="Z45">
            <v>4716331.2883435581</v>
          </cell>
          <cell r="AA45">
            <v>6068623.429739994</v>
          </cell>
          <cell r="AB45">
            <v>7601811.2766579017</v>
          </cell>
          <cell r="AC45">
            <v>8876071.5746421274</v>
          </cell>
          <cell r="AD45">
            <v>10223063.199922096</v>
          </cell>
          <cell r="AE45">
            <v>11502272.470542409</v>
          </cell>
          <cell r="AF45">
            <v>12398425.357873211</v>
          </cell>
          <cell r="AG45">
            <v>13730400.81799591</v>
          </cell>
          <cell r="AH45">
            <v>15032643.587496348</v>
          </cell>
          <cell r="AI45">
            <v>16566888.304606099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60088</v>
          </cell>
          <cell r="F48">
            <v>98973</v>
          </cell>
          <cell r="G48">
            <v>140428</v>
          </cell>
          <cell r="H48">
            <v>179300</v>
          </cell>
          <cell r="I48">
            <v>204059</v>
          </cell>
          <cell r="J48">
            <v>225925</v>
          </cell>
          <cell r="K48">
            <v>243810</v>
          </cell>
          <cell r="L48">
            <v>261336</v>
          </cell>
          <cell r="M48">
            <v>278976</v>
          </cell>
          <cell r="N48">
            <v>296357</v>
          </cell>
          <cell r="O48">
            <v>326482</v>
          </cell>
          <cell r="P48">
            <v>369067</v>
          </cell>
          <cell r="T48">
            <v>45</v>
          </cell>
          <cell r="U48" t="str">
            <v>Residential</v>
          </cell>
          <cell r="W48"/>
          <cell r="X48">
            <v>42118</v>
          </cell>
          <cell r="Y48">
            <v>79566</v>
          </cell>
          <cell r="Z48">
            <v>122971</v>
          </cell>
          <cell r="AA48">
            <v>158235</v>
          </cell>
          <cell r="AB48">
            <v>179632</v>
          </cell>
          <cell r="AC48">
            <v>198982</v>
          </cell>
          <cell r="AD48">
            <v>216558</v>
          </cell>
          <cell r="AE48">
            <v>232424</v>
          </cell>
          <cell r="AF48">
            <v>251913</v>
          </cell>
          <cell r="AG48">
            <v>270600</v>
          </cell>
          <cell r="AH48">
            <v>302240</v>
          </cell>
          <cell r="AI48">
            <v>338105</v>
          </cell>
        </row>
        <row r="49">
          <cell r="A49">
            <v>46</v>
          </cell>
          <cell r="B49" t="str">
            <v>Commercial</v>
          </cell>
          <cell r="D49"/>
          <cell r="E49">
            <v>439634</v>
          </cell>
          <cell r="F49">
            <v>828137</v>
          </cell>
          <cell r="G49">
            <v>1235933</v>
          </cell>
          <cell r="H49">
            <v>1628613</v>
          </cell>
          <cell r="I49">
            <v>1998471</v>
          </cell>
          <cell r="J49">
            <v>2368398</v>
          </cell>
          <cell r="K49">
            <v>2739858</v>
          </cell>
          <cell r="L49">
            <v>3137568</v>
          </cell>
          <cell r="M49">
            <v>3526992</v>
          </cell>
          <cell r="N49">
            <v>3917866</v>
          </cell>
          <cell r="O49">
            <v>4318854</v>
          </cell>
          <cell r="P49">
            <v>4719725</v>
          </cell>
          <cell r="T49">
            <v>46</v>
          </cell>
          <cell r="U49" t="str">
            <v>Commercial</v>
          </cell>
          <cell r="W49"/>
          <cell r="X49">
            <v>506909</v>
          </cell>
          <cell r="Y49">
            <v>978108</v>
          </cell>
          <cell r="Z49">
            <v>1462876</v>
          </cell>
          <cell r="AA49">
            <v>1923168</v>
          </cell>
          <cell r="AB49">
            <v>2369947</v>
          </cell>
          <cell r="AC49">
            <v>2797288</v>
          </cell>
          <cell r="AD49">
            <v>3257035</v>
          </cell>
          <cell r="AE49">
            <v>3690566</v>
          </cell>
          <cell r="AF49">
            <v>3970920</v>
          </cell>
          <cell r="AG49">
            <v>4347390</v>
          </cell>
          <cell r="AH49">
            <v>4723286</v>
          </cell>
          <cell r="AI49">
            <v>5127689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1132901</v>
          </cell>
          <cell r="F50">
            <v>1948016</v>
          </cell>
          <cell r="G50">
            <v>3065705</v>
          </cell>
          <cell r="H50">
            <v>4025763</v>
          </cell>
          <cell r="I50">
            <v>4982414</v>
          </cell>
          <cell r="J50">
            <v>6766646</v>
          </cell>
          <cell r="K50">
            <v>8912111</v>
          </cell>
          <cell r="L50">
            <v>11105116</v>
          </cell>
          <cell r="M50">
            <v>13280414</v>
          </cell>
          <cell r="N50">
            <v>15325610</v>
          </cell>
          <cell r="O50">
            <v>17449394</v>
          </cell>
          <cell r="P50">
            <v>19858336</v>
          </cell>
          <cell r="T50">
            <v>47</v>
          </cell>
          <cell r="U50" t="str">
            <v xml:space="preserve">Industrial </v>
          </cell>
          <cell r="W50"/>
          <cell r="X50">
            <v>1177611</v>
          </cell>
          <cell r="Y50">
            <v>2142919</v>
          </cell>
          <cell r="Z50">
            <v>3257355</v>
          </cell>
          <cell r="AA50">
            <v>4150468</v>
          </cell>
          <cell r="AB50">
            <v>5256723</v>
          </cell>
          <cell r="AC50">
            <v>6118570</v>
          </cell>
          <cell r="AD50">
            <v>7024473</v>
          </cell>
          <cell r="AE50">
            <v>7888697</v>
          </cell>
          <cell r="AF50">
            <v>8509114</v>
          </cell>
          <cell r="AG50">
            <v>9481763</v>
          </cell>
          <cell r="AH50">
            <v>10411500</v>
          </cell>
          <cell r="AI50">
            <v>11546748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1632623</v>
          </cell>
          <cell r="F52">
            <v>2875126</v>
          </cell>
          <cell r="G52">
            <v>4442066</v>
          </cell>
          <cell r="H52">
            <v>5833676</v>
          </cell>
          <cell r="I52">
            <v>7184944</v>
          </cell>
          <cell r="J52">
            <v>9360969</v>
          </cell>
          <cell r="K52">
            <v>11895779</v>
          </cell>
          <cell r="L52">
            <v>14504020</v>
          </cell>
          <cell r="M52">
            <v>17086382</v>
          </cell>
          <cell r="N52">
            <v>19539833</v>
          </cell>
          <cell r="O52">
            <v>22094730</v>
          </cell>
          <cell r="P52">
            <v>24947128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1726638</v>
          </cell>
          <cell r="Y52">
            <v>3200593</v>
          </cell>
          <cell r="Z52">
            <v>4843202</v>
          </cell>
          <cell r="AA52">
            <v>6231871</v>
          </cell>
          <cell r="AB52">
            <v>7806302</v>
          </cell>
          <cell r="AC52">
            <v>9114840</v>
          </cell>
          <cell r="AD52">
            <v>10498066</v>
          </cell>
          <cell r="AE52">
            <v>11811687</v>
          </cell>
          <cell r="AF52">
            <v>12731947</v>
          </cell>
          <cell r="AG52">
            <v>14099753</v>
          </cell>
          <cell r="AH52">
            <v>15437026</v>
          </cell>
          <cell r="AI52">
            <v>17012542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17349</v>
          </cell>
          <cell r="F55">
            <v>17379</v>
          </cell>
          <cell r="G55">
            <v>17417</v>
          </cell>
          <cell r="H55">
            <v>17454</v>
          </cell>
          <cell r="I55">
            <v>17470</v>
          </cell>
          <cell r="J55">
            <v>17471</v>
          </cell>
          <cell r="K55">
            <v>17471</v>
          </cell>
          <cell r="L55">
            <v>17475</v>
          </cell>
          <cell r="M55">
            <v>17481</v>
          </cell>
          <cell r="N55">
            <v>17493</v>
          </cell>
          <cell r="O55">
            <v>17511</v>
          </cell>
          <cell r="P55">
            <v>17537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1387223.196026877</v>
          </cell>
          <cell r="F56">
            <v>2694236.829292044</v>
          </cell>
          <cell r="G56">
            <v>4037753.7248028046</v>
          </cell>
          <cell r="H56">
            <v>6689874.8661018601</v>
          </cell>
          <cell r="I56">
            <v>9532489.3368390296</v>
          </cell>
          <cell r="J56">
            <v>12048038.270522933</v>
          </cell>
          <cell r="K56">
            <v>14682269.159606583</v>
          </cell>
          <cell r="L56">
            <v>17223429.934755087</v>
          </cell>
          <cell r="M56">
            <v>19596587.983250558</v>
          </cell>
          <cell r="N56">
            <v>22224906.806894533</v>
          </cell>
          <cell r="O56">
            <v>24835494.498003699</v>
          </cell>
          <cell r="P56">
            <v>27770082.091732398</v>
          </cell>
        </row>
        <row r="57">
          <cell r="A57">
            <v>54</v>
          </cell>
          <cell r="B57" t="str">
            <v>Cumulative YTD Budget Volume (Dts) * 1.0269</v>
          </cell>
          <cell r="E57">
            <v>1424540</v>
          </cell>
          <cell r="F57">
            <v>2766712</v>
          </cell>
          <cell r="G57">
            <v>4146370</v>
          </cell>
          <cell r="H57">
            <v>6869833</v>
          </cell>
          <cell r="I57">
            <v>9788914</v>
          </cell>
          <cell r="J57">
            <v>12372131</v>
          </cell>
          <cell r="K57">
            <v>15077223</v>
          </cell>
          <cell r="L57">
            <v>17686741</v>
          </cell>
          <cell r="M57">
            <v>20123737</v>
          </cell>
          <cell r="N57">
            <v>22822758</v>
          </cell>
          <cell r="O57">
            <v>25503571</v>
          </cell>
          <cell r="P57">
            <v>28517099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55701</v>
          </cell>
          <cell r="D5">
            <v>668413</v>
          </cell>
          <cell r="E5">
            <v>55186</v>
          </cell>
          <cell r="F5">
            <v>55193</v>
          </cell>
          <cell r="G5">
            <v>55462</v>
          </cell>
          <cell r="H5">
            <v>55529</v>
          </cell>
          <cell r="I5">
            <v>55524</v>
          </cell>
          <cell r="J5">
            <v>55687</v>
          </cell>
          <cell r="K5">
            <v>55633</v>
          </cell>
          <cell r="L5">
            <v>55787</v>
          </cell>
          <cell r="M5">
            <v>55868</v>
          </cell>
          <cell r="N5">
            <v>55903</v>
          </cell>
          <cell r="O5">
            <v>56227</v>
          </cell>
          <cell r="P5">
            <v>56414</v>
          </cell>
          <cell r="T5">
            <v>2</v>
          </cell>
          <cell r="U5" t="str">
            <v>Residential</v>
          </cell>
          <cell r="V5"/>
          <cell r="W5"/>
          <cell r="X5">
            <v>53892</v>
          </cell>
          <cell r="Y5">
            <v>54006</v>
          </cell>
          <cell r="Z5">
            <v>54224</v>
          </cell>
          <cell r="AA5">
            <v>54411</v>
          </cell>
          <cell r="AB5">
            <v>54379</v>
          </cell>
          <cell r="AC5">
            <v>54265</v>
          </cell>
          <cell r="AD5">
            <v>54436</v>
          </cell>
          <cell r="AE5">
            <v>54562</v>
          </cell>
          <cell r="AF5">
            <v>54630</v>
          </cell>
          <cell r="AG5">
            <v>54578</v>
          </cell>
          <cell r="AH5">
            <v>54633</v>
          </cell>
          <cell r="AI5">
            <v>54901</v>
          </cell>
        </row>
        <row r="6">
          <cell r="A6">
            <v>3</v>
          </cell>
          <cell r="B6" t="str">
            <v>Commercial</v>
          </cell>
          <cell r="C6">
            <v>3915</v>
          </cell>
          <cell r="D6">
            <v>46983</v>
          </cell>
          <cell r="E6">
            <v>3934</v>
          </cell>
          <cell r="F6">
            <v>3919</v>
          </cell>
          <cell r="G6">
            <v>3929</v>
          </cell>
          <cell r="H6">
            <v>3942</v>
          </cell>
          <cell r="I6">
            <v>3933</v>
          </cell>
          <cell r="J6">
            <v>3909</v>
          </cell>
          <cell r="K6">
            <v>3902</v>
          </cell>
          <cell r="L6">
            <v>3915</v>
          </cell>
          <cell r="M6">
            <v>3920</v>
          </cell>
          <cell r="N6">
            <v>3885</v>
          </cell>
          <cell r="O6">
            <v>3906</v>
          </cell>
          <cell r="P6">
            <v>3889</v>
          </cell>
          <cell r="T6">
            <v>3</v>
          </cell>
          <cell r="U6" t="str">
            <v>Commercial</v>
          </cell>
          <cell r="V6"/>
          <cell r="W6"/>
          <cell r="X6">
            <v>4186</v>
          </cell>
          <cell r="Y6">
            <v>4183</v>
          </cell>
          <cell r="Z6">
            <v>4151</v>
          </cell>
          <cell r="AA6">
            <v>4119</v>
          </cell>
          <cell r="AB6">
            <v>4066</v>
          </cell>
          <cell r="AC6">
            <v>4031</v>
          </cell>
          <cell r="AD6">
            <v>4039</v>
          </cell>
          <cell r="AE6">
            <v>4007</v>
          </cell>
          <cell r="AF6">
            <v>3974</v>
          </cell>
          <cell r="AG6">
            <v>3968</v>
          </cell>
          <cell r="AH6">
            <v>3955</v>
          </cell>
          <cell r="AI6">
            <v>3963</v>
          </cell>
        </row>
        <row r="7">
          <cell r="A7">
            <v>4</v>
          </cell>
          <cell r="B7" t="str">
            <v xml:space="preserve">Industrial </v>
          </cell>
          <cell r="C7">
            <v>2312</v>
          </cell>
          <cell r="D7">
            <v>27738</v>
          </cell>
          <cell r="E7">
            <v>2233</v>
          </cell>
          <cell r="F7">
            <v>2250</v>
          </cell>
          <cell r="G7">
            <v>2270</v>
          </cell>
          <cell r="H7">
            <v>2277</v>
          </cell>
          <cell r="I7">
            <v>2278</v>
          </cell>
          <cell r="J7">
            <v>2305</v>
          </cell>
          <cell r="K7">
            <v>2314</v>
          </cell>
          <cell r="L7">
            <v>2312</v>
          </cell>
          <cell r="M7">
            <v>2360</v>
          </cell>
          <cell r="N7">
            <v>2357</v>
          </cell>
          <cell r="O7">
            <v>2379</v>
          </cell>
          <cell r="P7">
            <v>2403</v>
          </cell>
          <cell r="T7">
            <v>4</v>
          </cell>
          <cell r="U7" t="str">
            <v>Industrial firm</v>
          </cell>
          <cell r="V7"/>
          <cell r="W7"/>
          <cell r="X7">
            <v>1898</v>
          </cell>
          <cell r="Y7">
            <v>1938</v>
          </cell>
          <cell r="Z7">
            <v>1979</v>
          </cell>
          <cell r="AA7">
            <v>2027</v>
          </cell>
          <cell r="AB7">
            <v>2058</v>
          </cell>
          <cell r="AC7">
            <v>2081</v>
          </cell>
          <cell r="AD7">
            <v>2106</v>
          </cell>
          <cell r="AE7">
            <v>2129</v>
          </cell>
          <cell r="AF7">
            <v>2161</v>
          </cell>
          <cell r="AG7">
            <v>2170</v>
          </cell>
          <cell r="AH7">
            <v>2181</v>
          </cell>
          <cell r="AI7">
            <v>2207</v>
          </cell>
        </row>
        <row r="8">
          <cell r="A8">
            <v>5</v>
          </cell>
          <cell r="B8" t="str">
            <v>Other</v>
          </cell>
          <cell r="C8">
            <v>11</v>
          </cell>
          <cell r="D8">
            <v>136</v>
          </cell>
          <cell r="E8">
            <v>10</v>
          </cell>
          <cell r="F8">
            <v>10</v>
          </cell>
          <cell r="G8">
            <v>10</v>
          </cell>
          <cell r="H8">
            <v>10</v>
          </cell>
          <cell r="I8">
            <v>12</v>
          </cell>
          <cell r="J8">
            <v>12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T8">
            <v>5</v>
          </cell>
          <cell r="U8" t="str">
            <v>Other</v>
          </cell>
          <cell r="V8"/>
          <cell r="W8"/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10</v>
          </cell>
          <cell r="AI8">
            <v>10</v>
          </cell>
        </row>
        <row r="9">
          <cell r="A9">
            <v>6</v>
          </cell>
          <cell r="B9" t="str">
            <v>Total customers</v>
          </cell>
          <cell r="C9">
            <v>61939</v>
          </cell>
          <cell r="D9">
            <v>743270</v>
          </cell>
          <cell r="E9">
            <v>61363</v>
          </cell>
          <cell r="F9">
            <v>61372</v>
          </cell>
          <cell r="G9">
            <v>61671</v>
          </cell>
          <cell r="H9">
            <v>61758</v>
          </cell>
          <cell r="I9">
            <v>61747</v>
          </cell>
          <cell r="J9">
            <v>61913</v>
          </cell>
          <cell r="K9">
            <v>61861</v>
          </cell>
          <cell r="L9">
            <v>62026</v>
          </cell>
          <cell r="M9">
            <v>62160</v>
          </cell>
          <cell r="N9">
            <v>62157</v>
          </cell>
          <cell r="O9">
            <v>62524</v>
          </cell>
          <cell r="P9">
            <v>62718</v>
          </cell>
          <cell r="T9">
            <v>6</v>
          </cell>
          <cell r="U9" t="str">
            <v>Total customers</v>
          </cell>
          <cell r="V9"/>
          <cell r="W9"/>
          <cell r="X9">
            <v>59986</v>
          </cell>
          <cell r="Y9">
            <v>60137</v>
          </cell>
          <cell r="Z9">
            <v>60364</v>
          </cell>
          <cell r="AA9">
            <v>60567</v>
          </cell>
          <cell r="AB9">
            <v>60513</v>
          </cell>
          <cell r="AC9">
            <v>60387</v>
          </cell>
          <cell r="AD9">
            <v>60591</v>
          </cell>
          <cell r="AE9">
            <v>60708</v>
          </cell>
          <cell r="AF9">
            <v>60775</v>
          </cell>
          <cell r="AG9">
            <v>60726</v>
          </cell>
          <cell r="AH9">
            <v>60779</v>
          </cell>
          <cell r="AI9">
            <v>61081</v>
          </cell>
        </row>
        <row r="10">
          <cell r="A10">
            <v>7</v>
          </cell>
          <cell r="T10">
            <v>7</v>
          </cell>
          <cell r="X10"/>
        </row>
        <row r="11">
          <cell r="A11">
            <v>8</v>
          </cell>
          <cell r="B11" t="str">
            <v>Volume - 2018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13937848.540870018</v>
          </cell>
          <cell r="D12">
            <v>1357274.1786804965</v>
          </cell>
          <cell r="E12">
            <v>216758.88596747493</v>
          </cell>
          <cell r="F12">
            <v>152946.73288538319</v>
          </cell>
          <cell r="G12">
            <v>139654.2993475509</v>
          </cell>
          <cell r="H12">
            <v>136000.19476093096</v>
          </cell>
          <cell r="I12">
            <v>98294.770669003788</v>
          </cell>
          <cell r="J12">
            <v>86363.22913623527</v>
          </cell>
          <cell r="K12">
            <v>69725.679228746711</v>
          </cell>
          <cell r="L12">
            <v>66381.341902814296</v>
          </cell>
          <cell r="M12">
            <v>72494.400623234964</v>
          </cell>
          <cell r="N12">
            <v>66786.860538513967</v>
          </cell>
          <cell r="O12">
            <v>99214.169831533785</v>
          </cell>
          <cell r="P12">
            <v>152653.61378907392</v>
          </cell>
          <cell r="T12">
            <v>9</v>
          </cell>
          <cell r="U12" t="str">
            <v>Residential</v>
          </cell>
          <cell r="V12"/>
          <cell r="W12">
            <v>1315039.3417080536</v>
          </cell>
          <cell r="X12">
            <v>169015.09397214919</v>
          </cell>
          <cell r="Y12">
            <v>147300.41873600159</v>
          </cell>
          <cell r="Z12">
            <v>142162.1384750219</v>
          </cell>
          <cell r="AA12">
            <v>128972.24656733859</v>
          </cell>
          <cell r="AB12">
            <v>89320.38173142467</v>
          </cell>
          <cell r="AC12">
            <v>78395.462070308684</v>
          </cell>
          <cell r="AD12">
            <v>68637.063005161181</v>
          </cell>
          <cell r="AE12">
            <v>61647.969617294773</v>
          </cell>
          <cell r="AF12">
            <v>110360.40510273639</v>
          </cell>
          <cell r="AG12">
            <v>75936.02103418055</v>
          </cell>
          <cell r="AH12">
            <v>101296.52351738242</v>
          </cell>
          <cell r="AI12">
            <v>141995.61787905349</v>
          </cell>
        </row>
        <row r="13">
          <cell r="A13">
            <v>10</v>
          </cell>
          <cell r="B13" t="str">
            <v>Commercial</v>
          </cell>
          <cell r="C13">
            <v>17220777.104540002</v>
          </cell>
          <cell r="D13">
            <v>1676967.2903437531</v>
          </cell>
          <cell r="E13">
            <v>190995.81263998442</v>
          </cell>
          <cell r="F13">
            <v>173620.11880416787</v>
          </cell>
          <cell r="G13">
            <v>156898.04265264384</v>
          </cell>
          <cell r="H13">
            <v>157502.97010419707</v>
          </cell>
          <cell r="I13">
            <v>134778.55682150158</v>
          </cell>
          <cell r="J13">
            <v>128588.95705521473</v>
          </cell>
          <cell r="K13">
            <v>107962.31375985977</v>
          </cell>
          <cell r="L13">
            <v>109722.07615152402</v>
          </cell>
          <cell r="M13">
            <v>110575.32379004773</v>
          </cell>
          <cell r="N13">
            <v>103195.66107118512</v>
          </cell>
          <cell r="O13">
            <v>137727.76024929405</v>
          </cell>
          <cell r="P13">
            <v>165399.69724413284</v>
          </cell>
          <cell r="T13">
            <v>10</v>
          </cell>
          <cell r="U13" t="str">
            <v>Commercial</v>
          </cell>
          <cell r="W13">
            <v>1814340.9290096406</v>
          </cell>
          <cell r="X13">
            <v>203694.61486025903</v>
          </cell>
          <cell r="Y13">
            <v>189911.38377641444</v>
          </cell>
          <cell r="Z13">
            <v>191848.37861524979</v>
          </cell>
          <cell r="AA13">
            <v>173820.04089979551</v>
          </cell>
          <cell r="AB13">
            <v>138403.1551270815</v>
          </cell>
          <cell r="AC13">
            <v>135097.38046547861</v>
          </cell>
          <cell r="AD13">
            <v>124160.48300710876</v>
          </cell>
          <cell r="AE13">
            <v>114400.72061544456</v>
          </cell>
          <cell r="AF13">
            <v>118161.06728990164</v>
          </cell>
          <cell r="AG13">
            <v>116538.70873502774</v>
          </cell>
          <cell r="AH13">
            <v>143460.1226993865</v>
          </cell>
          <cell r="AI13">
            <v>164844.87291849253</v>
          </cell>
        </row>
        <row r="14">
          <cell r="A14">
            <v>11</v>
          </cell>
          <cell r="B14" t="str">
            <v xml:space="preserve">Industrial </v>
          </cell>
          <cell r="C14">
            <v>49009967.9956</v>
          </cell>
          <cell r="D14">
            <v>4772613.4965040414</v>
          </cell>
          <cell r="E14">
            <v>448369.94838835328</v>
          </cell>
          <cell r="F14">
            <v>408576.20021423697</v>
          </cell>
          <cell r="G14">
            <v>413411.04294478527</v>
          </cell>
          <cell r="H14">
            <v>421346.09017431102</v>
          </cell>
          <cell r="I14">
            <v>400164.47560619342</v>
          </cell>
          <cell r="J14">
            <v>391801.2464699581</v>
          </cell>
          <cell r="K14">
            <v>367170.61057551851</v>
          </cell>
          <cell r="L14">
            <v>368403.44726847793</v>
          </cell>
          <cell r="M14">
            <v>365115.39585159218</v>
          </cell>
          <cell r="N14">
            <v>366462.4</v>
          </cell>
          <cell r="O14">
            <v>397902.63901061448</v>
          </cell>
          <cell r="P14">
            <v>423890</v>
          </cell>
          <cell r="T14">
            <v>11</v>
          </cell>
          <cell r="U14" t="str">
            <v>Industrial firm</v>
          </cell>
          <cell r="W14">
            <v>4424749.3426818578</v>
          </cell>
          <cell r="X14">
            <v>400776.21969033009</v>
          </cell>
          <cell r="Y14">
            <v>365848.6707566462</v>
          </cell>
          <cell r="Z14">
            <v>391484.75995715259</v>
          </cell>
          <cell r="AA14">
            <v>364629.46732885379</v>
          </cell>
          <cell r="AB14">
            <v>356034.37530431396</v>
          </cell>
          <cell r="AC14">
            <v>350939.91625279968</v>
          </cell>
          <cell r="AD14">
            <v>375904.56714383099</v>
          </cell>
          <cell r="AE14">
            <v>360230.69432271883</v>
          </cell>
          <cell r="AF14">
            <v>318204.2068361087</v>
          </cell>
          <cell r="AG14">
            <v>368503.94390885194</v>
          </cell>
          <cell r="AH14">
            <v>366365.17674554483</v>
          </cell>
          <cell r="AI14">
            <v>405827.34443470644</v>
          </cell>
        </row>
        <row r="15">
          <cell r="A15">
            <v>12</v>
          </cell>
          <cell r="B15" t="str">
            <v>Other</v>
          </cell>
          <cell r="C15">
            <v>23388139.905850004</v>
          </cell>
          <cell r="D15">
            <v>2277547.9507108778</v>
          </cell>
          <cell r="E15">
            <v>194736.14383094752</v>
          </cell>
          <cell r="F15">
            <v>101655.32671146168</v>
          </cell>
          <cell r="G15">
            <v>210479.89093387866</v>
          </cell>
          <cell r="H15">
            <v>165609.0174311033</v>
          </cell>
          <cell r="I15">
            <v>165121.14129905539</v>
          </cell>
          <cell r="J15">
            <v>121251.44882656538</v>
          </cell>
          <cell r="K15">
            <v>128508.77797253871</v>
          </cell>
          <cell r="L15">
            <v>154373.17908267601</v>
          </cell>
          <cell r="M15">
            <v>140698.95121238678</v>
          </cell>
          <cell r="N15">
            <v>212772.25716720225</v>
          </cell>
          <cell r="O15">
            <v>203879.03593339177</v>
          </cell>
          <cell r="P15">
            <v>478462.78030966991</v>
          </cell>
          <cell r="T15">
            <v>12</v>
          </cell>
          <cell r="U15" t="str">
            <v>Other</v>
          </cell>
          <cell r="W15">
            <v>1826625.8100107121</v>
          </cell>
          <cell r="X15">
            <v>163423.28269549127</v>
          </cell>
          <cell r="Y15">
            <v>143313.67319115787</v>
          </cell>
          <cell r="Z15">
            <v>168392.62245593534</v>
          </cell>
          <cell r="AA15">
            <v>140425.77359041772</v>
          </cell>
          <cell r="AB15">
            <v>162372.18229623136</v>
          </cell>
          <cell r="AC15">
            <v>144374.66647190572</v>
          </cell>
          <cell r="AD15">
            <v>91504.399552049857</v>
          </cell>
          <cell r="AE15">
            <v>120529.95423118121</v>
          </cell>
          <cell r="AF15">
            <v>114075.54825202063</v>
          </cell>
          <cell r="AG15">
            <v>183923.95228357191</v>
          </cell>
          <cell r="AH15">
            <v>193762.82724705423</v>
          </cell>
          <cell r="AI15">
            <v>200526.92774369463</v>
          </cell>
        </row>
        <row r="16">
          <cell r="A16">
            <v>13</v>
          </cell>
          <cell r="B16" t="str">
            <v>Total Deliveries</v>
          </cell>
          <cell r="C16"/>
          <cell r="D16">
            <v>10084402.916239168</v>
          </cell>
          <cell r="E16">
            <v>1050860.7908267602</v>
          </cell>
          <cell r="F16">
            <v>836798.37861524965</v>
          </cell>
          <cell r="G16">
            <v>920443.27587885875</v>
          </cell>
          <cell r="H16">
            <v>880458.27247054235</v>
          </cell>
          <cell r="I16">
            <v>798358.94439575425</v>
          </cell>
          <cell r="J16">
            <v>728004.8814879735</v>
          </cell>
          <cell r="K16">
            <v>673367.38153666374</v>
          </cell>
          <cell r="L16">
            <v>698880.04440549226</v>
          </cell>
          <cell r="M16">
            <v>688884.0714772616</v>
          </cell>
          <cell r="N16">
            <v>749217.17877690145</v>
          </cell>
          <cell r="O16">
            <v>838723.60502483405</v>
          </cell>
          <cell r="P16">
            <v>1220406.0913428767</v>
          </cell>
          <cell r="T16">
            <v>13</v>
          </cell>
          <cell r="U16" t="str">
            <v>Total Deliveries</v>
          </cell>
          <cell r="V16"/>
          <cell r="W16">
            <v>9380755.4234102648</v>
          </cell>
          <cell r="X16">
            <v>936909.21121822949</v>
          </cell>
          <cell r="Y16">
            <v>846374.1464602201</v>
          </cell>
          <cell r="Z16">
            <v>893887.89950335969</v>
          </cell>
          <cell r="AA16">
            <v>807847.52838640555</v>
          </cell>
          <cell r="AB16">
            <v>746130.0944590515</v>
          </cell>
          <cell r="AC16">
            <v>708807.4252604926</v>
          </cell>
          <cell r="AD16">
            <v>660206.51270815078</v>
          </cell>
          <cell r="AE16">
            <v>656809.33878663927</v>
          </cell>
          <cell r="AF16">
            <v>660801.22748076741</v>
          </cell>
          <cell r="AG16">
            <v>744902.62596163223</v>
          </cell>
          <cell r="AH16">
            <v>804884.65020936797</v>
          </cell>
          <cell r="AI16">
            <v>913194.76297594712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</row>
        <row r="18">
          <cell r="A18">
            <v>15</v>
          </cell>
          <cell r="B18" t="str">
            <v>DATA INPUT AREA</v>
          </cell>
          <cell r="T18">
            <v>15</v>
          </cell>
          <cell r="X18"/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  <cell r="X19"/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54464</v>
          </cell>
          <cell r="D21">
            <v>653563</v>
          </cell>
          <cell r="E21">
            <v>53933</v>
          </cell>
          <cell r="F21">
            <v>53941</v>
          </cell>
          <cell r="G21">
            <v>54205</v>
          </cell>
          <cell r="H21">
            <v>54282</v>
          </cell>
          <cell r="I21">
            <v>54288</v>
          </cell>
          <cell r="J21">
            <v>54459</v>
          </cell>
          <cell r="K21">
            <v>54403</v>
          </cell>
          <cell r="L21">
            <v>54557</v>
          </cell>
          <cell r="M21">
            <v>54637</v>
          </cell>
          <cell r="N21">
            <v>54677</v>
          </cell>
          <cell r="O21">
            <v>54995</v>
          </cell>
          <cell r="P21">
            <v>55186</v>
          </cell>
          <cell r="T21">
            <v>18</v>
          </cell>
          <cell r="U21" t="str">
            <v>Residential</v>
          </cell>
          <cell r="V21"/>
          <cell r="W21"/>
          <cell r="X21">
            <v>52607</v>
          </cell>
          <cell r="Y21">
            <v>52722</v>
          </cell>
          <cell r="Z21">
            <v>52934</v>
          </cell>
          <cell r="AA21">
            <v>53124</v>
          </cell>
          <cell r="AB21">
            <v>53115</v>
          </cell>
          <cell r="AC21">
            <v>53003</v>
          </cell>
          <cell r="AD21">
            <v>53186</v>
          </cell>
          <cell r="AE21">
            <v>53318</v>
          </cell>
          <cell r="AF21">
            <v>53389</v>
          </cell>
          <cell r="AG21">
            <v>53341</v>
          </cell>
          <cell r="AH21">
            <v>53389</v>
          </cell>
          <cell r="AI21">
            <v>53653</v>
          </cell>
        </row>
        <row r="22">
          <cell r="A22">
            <v>19</v>
          </cell>
          <cell r="B22" t="str">
            <v>Commercial Small</v>
          </cell>
          <cell r="C22">
            <v>3171</v>
          </cell>
          <cell r="D22">
            <v>38053</v>
          </cell>
          <cell r="E22">
            <v>3181</v>
          </cell>
          <cell r="F22">
            <v>3167</v>
          </cell>
          <cell r="G22">
            <v>3179</v>
          </cell>
          <cell r="H22">
            <v>3189</v>
          </cell>
          <cell r="I22">
            <v>3186</v>
          </cell>
          <cell r="J22">
            <v>3167</v>
          </cell>
          <cell r="K22">
            <v>3176</v>
          </cell>
          <cell r="L22">
            <v>3176</v>
          </cell>
          <cell r="M22">
            <v>3182</v>
          </cell>
          <cell r="N22">
            <v>3144</v>
          </cell>
          <cell r="O22">
            <v>3153</v>
          </cell>
          <cell r="P22">
            <v>3153</v>
          </cell>
          <cell r="T22">
            <v>19</v>
          </cell>
          <cell r="U22" t="str">
            <v>Commercial Small</v>
          </cell>
          <cell r="X22">
            <v>3321</v>
          </cell>
          <cell r="Y22">
            <v>3322</v>
          </cell>
          <cell r="Z22">
            <v>3303</v>
          </cell>
          <cell r="AA22">
            <v>3282</v>
          </cell>
          <cell r="AB22">
            <v>3250</v>
          </cell>
          <cell r="AC22">
            <v>3235</v>
          </cell>
          <cell r="AD22">
            <v>3244</v>
          </cell>
          <cell r="AE22">
            <v>3228</v>
          </cell>
          <cell r="AF22">
            <v>3209</v>
          </cell>
          <cell r="AG22">
            <v>3198</v>
          </cell>
          <cell r="AH22">
            <v>3185</v>
          </cell>
          <cell r="AI22">
            <v>3201</v>
          </cell>
        </row>
        <row r="23">
          <cell r="A23">
            <v>20</v>
          </cell>
          <cell r="B23" t="str">
            <v>Commercial Large</v>
          </cell>
          <cell r="C23">
            <v>671</v>
          </cell>
          <cell r="D23">
            <v>8053</v>
          </cell>
          <cell r="E23">
            <v>676</v>
          </cell>
          <cell r="F23">
            <v>677</v>
          </cell>
          <cell r="G23">
            <v>675</v>
          </cell>
          <cell r="H23">
            <v>676</v>
          </cell>
          <cell r="I23">
            <v>673</v>
          </cell>
          <cell r="J23">
            <v>668</v>
          </cell>
          <cell r="K23">
            <v>652</v>
          </cell>
          <cell r="L23">
            <v>665</v>
          </cell>
          <cell r="M23">
            <v>665</v>
          </cell>
          <cell r="N23">
            <v>669</v>
          </cell>
          <cell r="O23">
            <v>685</v>
          </cell>
          <cell r="P23">
            <v>672</v>
          </cell>
          <cell r="T23">
            <v>20</v>
          </cell>
          <cell r="U23" t="str">
            <v>Commercial Large</v>
          </cell>
          <cell r="X23">
            <v>780</v>
          </cell>
          <cell r="Y23">
            <v>776</v>
          </cell>
          <cell r="Z23">
            <v>763</v>
          </cell>
          <cell r="AA23">
            <v>756</v>
          </cell>
          <cell r="AB23">
            <v>738</v>
          </cell>
          <cell r="AC23">
            <v>720</v>
          </cell>
          <cell r="AD23">
            <v>718</v>
          </cell>
          <cell r="AE23">
            <v>702</v>
          </cell>
          <cell r="AF23">
            <v>689</v>
          </cell>
          <cell r="AG23">
            <v>693</v>
          </cell>
          <cell r="AH23">
            <v>694</v>
          </cell>
          <cell r="AI23">
            <v>686</v>
          </cell>
        </row>
        <row r="24">
          <cell r="A24">
            <v>21</v>
          </cell>
          <cell r="B24" t="str">
            <v>Outdoor Lights</v>
          </cell>
          <cell r="C24">
            <v>49</v>
          </cell>
          <cell r="D24">
            <v>588</v>
          </cell>
          <cell r="E24">
            <v>53</v>
          </cell>
          <cell r="F24">
            <v>51</v>
          </cell>
          <cell r="G24">
            <v>51</v>
          </cell>
          <cell r="H24">
            <v>52</v>
          </cell>
          <cell r="I24">
            <v>50</v>
          </cell>
          <cell r="J24">
            <v>50</v>
          </cell>
          <cell r="K24">
            <v>50</v>
          </cell>
          <cell r="L24">
            <v>50</v>
          </cell>
          <cell r="M24">
            <v>49</v>
          </cell>
          <cell r="N24">
            <v>48</v>
          </cell>
          <cell r="O24">
            <v>44</v>
          </cell>
          <cell r="P24">
            <v>40</v>
          </cell>
          <cell r="T24">
            <v>21</v>
          </cell>
          <cell r="U24" t="str">
            <v>Outdoor Lights</v>
          </cell>
          <cell r="X24">
            <v>60</v>
          </cell>
          <cell r="Y24">
            <v>60</v>
          </cell>
          <cell r="Z24">
            <v>60</v>
          </cell>
          <cell r="AA24">
            <v>56</v>
          </cell>
          <cell r="AB24">
            <v>54</v>
          </cell>
          <cell r="AC24">
            <v>52</v>
          </cell>
          <cell r="AD24">
            <v>52</v>
          </cell>
          <cell r="AE24">
            <v>52</v>
          </cell>
          <cell r="AF24">
            <v>52</v>
          </cell>
          <cell r="AG24">
            <v>53</v>
          </cell>
          <cell r="AH24">
            <v>52</v>
          </cell>
          <cell r="AI24">
            <v>52</v>
          </cell>
        </row>
        <row r="25">
          <cell r="A25">
            <v>22</v>
          </cell>
          <cell r="B25" t="str">
            <v>Interdepartmental/Special Contracts</v>
          </cell>
          <cell r="C25">
            <v>4</v>
          </cell>
          <cell r="D25">
            <v>52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T25">
            <v>22</v>
          </cell>
          <cell r="U25" t="str">
            <v>Interdepartmental/Special Contracts</v>
          </cell>
          <cell r="X25">
            <v>3</v>
          </cell>
          <cell r="Y25">
            <v>3</v>
          </cell>
          <cell r="Z25">
            <v>3</v>
          </cell>
          <cell r="AA25">
            <v>3</v>
          </cell>
          <cell r="AB25">
            <v>3</v>
          </cell>
          <cell r="AC25">
            <v>3</v>
          </cell>
          <cell r="AD25">
            <v>3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3</v>
          </cell>
        </row>
        <row r="26">
          <cell r="A26">
            <v>23</v>
          </cell>
          <cell r="B26" t="str">
            <v>Commercial Small Transp</v>
          </cell>
          <cell r="C26">
            <v>1064</v>
          </cell>
          <cell r="D26">
            <v>12770</v>
          </cell>
          <cell r="E26">
            <v>1000</v>
          </cell>
          <cell r="F26">
            <v>1015</v>
          </cell>
          <cell r="G26">
            <v>1025</v>
          </cell>
          <cell r="H26">
            <v>1028</v>
          </cell>
          <cell r="I26">
            <v>1035</v>
          </cell>
          <cell r="J26">
            <v>1053</v>
          </cell>
          <cell r="K26">
            <v>1056</v>
          </cell>
          <cell r="L26">
            <v>1056</v>
          </cell>
          <cell r="M26">
            <v>1109</v>
          </cell>
          <cell r="N26">
            <v>1114</v>
          </cell>
          <cell r="O26">
            <v>1134</v>
          </cell>
          <cell r="P26">
            <v>1145</v>
          </cell>
          <cell r="T26">
            <v>23</v>
          </cell>
          <cell r="U26" t="str">
            <v>Commercial Small Transp</v>
          </cell>
          <cell r="X26">
            <v>793</v>
          </cell>
          <cell r="Y26">
            <v>819</v>
          </cell>
          <cell r="Z26">
            <v>843</v>
          </cell>
          <cell r="AA26">
            <v>875</v>
          </cell>
          <cell r="AB26">
            <v>897</v>
          </cell>
          <cell r="AC26">
            <v>908</v>
          </cell>
          <cell r="AD26">
            <v>919</v>
          </cell>
          <cell r="AE26">
            <v>936</v>
          </cell>
          <cell r="AF26">
            <v>957</v>
          </cell>
          <cell r="AG26">
            <v>962</v>
          </cell>
          <cell r="AH26">
            <v>972</v>
          </cell>
          <cell r="AI26">
            <v>984</v>
          </cell>
        </row>
        <row r="27">
          <cell r="A27">
            <v>24</v>
          </cell>
          <cell r="B27" t="str">
            <v>Commercial Large Transp</v>
          </cell>
          <cell r="C27">
            <v>1208</v>
          </cell>
          <cell r="D27">
            <v>14497</v>
          </cell>
          <cell r="E27">
            <v>1195</v>
          </cell>
          <cell r="F27">
            <v>1198</v>
          </cell>
          <cell r="G27">
            <v>1205</v>
          </cell>
          <cell r="H27">
            <v>1209</v>
          </cell>
          <cell r="I27">
            <v>1203</v>
          </cell>
          <cell r="J27">
            <v>1213</v>
          </cell>
          <cell r="K27">
            <v>1219</v>
          </cell>
          <cell r="L27">
            <v>1217</v>
          </cell>
          <cell r="M27">
            <v>1211</v>
          </cell>
          <cell r="N27">
            <v>1203</v>
          </cell>
          <cell r="O27">
            <v>1205</v>
          </cell>
          <cell r="P27">
            <v>1219</v>
          </cell>
          <cell r="T27">
            <v>24</v>
          </cell>
          <cell r="U27" t="str">
            <v>Commercial Large Transp</v>
          </cell>
          <cell r="X27">
            <v>1066</v>
          </cell>
          <cell r="Y27">
            <v>1080</v>
          </cell>
          <cell r="Z27">
            <v>1097</v>
          </cell>
          <cell r="AA27">
            <v>1111</v>
          </cell>
          <cell r="AB27">
            <v>1122</v>
          </cell>
          <cell r="AC27">
            <v>1136</v>
          </cell>
          <cell r="AD27">
            <v>1149</v>
          </cell>
          <cell r="AE27">
            <v>1155</v>
          </cell>
          <cell r="AF27">
            <v>1165</v>
          </cell>
          <cell r="AG27">
            <v>1169</v>
          </cell>
          <cell r="AH27">
            <v>1170</v>
          </cell>
          <cell r="AI27">
            <v>1185</v>
          </cell>
        </row>
        <row r="28">
          <cell r="A28">
            <v>25</v>
          </cell>
          <cell r="B28" t="str">
            <v>Interruptible Transp</v>
          </cell>
          <cell r="C28">
            <v>17</v>
          </cell>
          <cell r="D28">
            <v>207</v>
          </cell>
          <cell r="E28">
            <v>17</v>
          </cell>
          <cell r="F28">
            <v>17</v>
          </cell>
          <cell r="G28">
            <v>17</v>
          </cell>
          <cell r="H28">
            <v>17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18</v>
          </cell>
          <cell r="Y28">
            <v>19</v>
          </cell>
          <cell r="Z28">
            <v>19</v>
          </cell>
          <cell r="AA28">
            <v>20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17</v>
          </cell>
          <cell r="AG28">
            <v>17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727783</v>
          </cell>
          <cell r="E30">
            <v>60058</v>
          </cell>
          <cell r="F30">
            <v>60069</v>
          </cell>
          <cell r="G30">
            <v>60360</v>
          </cell>
          <cell r="H30">
            <v>60456</v>
          </cell>
          <cell r="I30">
            <v>60457</v>
          </cell>
          <cell r="J30">
            <v>60632</v>
          </cell>
          <cell r="K30">
            <v>60578</v>
          </cell>
          <cell r="L30">
            <v>60743</v>
          </cell>
          <cell r="M30">
            <v>60876</v>
          </cell>
          <cell r="N30">
            <v>60878</v>
          </cell>
          <cell r="O30">
            <v>61239</v>
          </cell>
          <cell r="P30">
            <v>61437</v>
          </cell>
          <cell r="T30">
            <v>27</v>
          </cell>
          <cell r="V30"/>
          <cell r="W30"/>
          <cell r="X30">
            <v>58648</v>
          </cell>
          <cell r="Y30">
            <v>58801</v>
          </cell>
          <cell r="Z30">
            <v>59022</v>
          </cell>
          <cell r="AA30">
            <v>59227</v>
          </cell>
          <cell r="AB30">
            <v>59196</v>
          </cell>
          <cell r="AC30">
            <v>59074</v>
          </cell>
          <cell r="AD30">
            <v>59288</v>
          </cell>
          <cell r="AE30">
            <v>59411</v>
          </cell>
          <cell r="AF30">
            <v>59481</v>
          </cell>
          <cell r="AG30">
            <v>59436</v>
          </cell>
          <cell r="AH30">
            <v>59482</v>
          </cell>
          <cell r="AI30">
            <v>59781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  <cell r="X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C33"/>
          <cell r="D33">
            <v>1338898.3874642146</v>
          </cell>
          <cell r="E33">
            <v>214312.00701139352</v>
          </cell>
          <cell r="F33">
            <v>151176.55078391274</v>
          </cell>
          <cell r="G33">
            <v>138100.98354270135</v>
          </cell>
          <cell r="H33">
            <v>134431.59022300126</v>
          </cell>
          <cell r="I33">
            <v>96853.150258058231</v>
          </cell>
          <cell r="J33">
            <v>84975.75226409582</v>
          </cell>
          <cell r="K33">
            <v>68469.471224072448</v>
          </cell>
          <cell r="L33">
            <v>65132.534813516409</v>
          </cell>
          <cell r="M33">
            <v>71239.458564611938</v>
          </cell>
          <cell r="N33">
            <v>65561.23</v>
          </cell>
          <cell r="O33">
            <v>97805.65877885095</v>
          </cell>
          <cell r="P33">
            <v>150840</v>
          </cell>
          <cell r="T33">
            <v>30</v>
          </cell>
          <cell r="U33" t="str">
            <v>Residential</v>
          </cell>
          <cell r="V33"/>
          <cell r="W33"/>
          <cell r="X33">
            <v>167122.30986464114</v>
          </cell>
          <cell r="Y33">
            <v>146105.94994644076</v>
          </cell>
          <cell r="Z33">
            <v>140532.47638523713</v>
          </cell>
          <cell r="AA33">
            <v>127461.68078683416</v>
          </cell>
          <cell r="AB33">
            <v>88046.45048203331</v>
          </cell>
          <cell r="AC33">
            <v>76976.336546888691</v>
          </cell>
          <cell r="AD33">
            <v>67425.747395072554</v>
          </cell>
          <cell r="AE33">
            <v>60401.110137306452</v>
          </cell>
          <cell r="AF33">
            <v>109034.66744571039</v>
          </cell>
          <cell r="AG33">
            <v>74548.836303437536</v>
          </cell>
          <cell r="AH33">
            <v>99787.321063394687</v>
          </cell>
          <cell r="AI33">
            <v>140097.28308501316</v>
          </cell>
        </row>
        <row r="34">
          <cell r="A34">
            <v>31</v>
          </cell>
          <cell r="B34" t="str">
            <v>Commercial Small</v>
          </cell>
          <cell r="C34"/>
          <cell r="D34">
            <v>762117.01358554885</v>
          </cell>
          <cell r="E34">
            <v>87081.11792774369</v>
          </cell>
          <cell r="F34">
            <v>84722.270912454958</v>
          </cell>
          <cell r="G34">
            <v>70946.343363521271</v>
          </cell>
          <cell r="H34">
            <v>71746.616028824617</v>
          </cell>
          <cell r="I34">
            <v>59273.152205667546</v>
          </cell>
          <cell r="J34">
            <v>57255.526341415913</v>
          </cell>
          <cell r="K34">
            <v>49309.767260687506</v>
          </cell>
          <cell r="L34">
            <v>49490.797546012269</v>
          </cell>
          <cell r="M34">
            <v>50488.363034375303</v>
          </cell>
          <cell r="N34">
            <v>46247.79</v>
          </cell>
          <cell r="O34">
            <v>59132.268964845651</v>
          </cell>
          <cell r="P34">
            <v>76423</v>
          </cell>
          <cell r="T34">
            <v>31</v>
          </cell>
          <cell r="U34" t="str">
            <v>Commercial Small</v>
          </cell>
          <cell r="X34">
            <v>88950.238582140417</v>
          </cell>
          <cell r="Y34">
            <v>84935.241990456707</v>
          </cell>
          <cell r="Z34">
            <v>82035.056967572309</v>
          </cell>
          <cell r="AA34">
            <v>75505.01509397215</v>
          </cell>
          <cell r="AB34">
            <v>60755.088129321259</v>
          </cell>
          <cell r="AC34">
            <v>59528.970688479887</v>
          </cell>
          <cell r="AD34">
            <v>54781.283474535005</v>
          </cell>
          <cell r="AE34">
            <v>49876.911091635018</v>
          </cell>
          <cell r="AF34">
            <v>55839.516992891222</v>
          </cell>
          <cell r="AG34">
            <v>53069.334891420782</v>
          </cell>
          <cell r="AH34">
            <v>61738.046547862497</v>
          </cell>
          <cell r="AI34">
            <v>72909.728308501319</v>
          </cell>
        </row>
        <row r="35">
          <cell r="A35">
            <v>32</v>
          </cell>
          <cell r="B35" t="str">
            <v>Commercial Large</v>
          </cell>
          <cell r="C35"/>
          <cell r="D35">
            <v>886277.31784010143</v>
          </cell>
          <cell r="E35">
            <v>101053.46187554776</v>
          </cell>
          <cell r="F35">
            <v>86268.185801928135</v>
          </cell>
          <cell r="G35">
            <v>83438.212094653805</v>
          </cell>
          <cell r="H35">
            <v>83213.652741260099</v>
          </cell>
          <cell r="I35">
            <v>73062.713019768227</v>
          </cell>
          <cell r="J35">
            <v>69038.660044795019</v>
          </cell>
          <cell r="K35">
            <v>56448.242282598112</v>
          </cell>
          <cell r="L35">
            <v>58055.312104391858</v>
          </cell>
          <cell r="M35">
            <v>57990.359333917615</v>
          </cell>
          <cell r="N35">
            <v>54771.1</v>
          </cell>
          <cell r="O35">
            <v>76478.41854124068</v>
          </cell>
          <cell r="P35">
            <v>86459</v>
          </cell>
          <cell r="T35">
            <v>32</v>
          </cell>
          <cell r="U35" t="str">
            <v>Commercial Large</v>
          </cell>
          <cell r="X35">
            <v>111736.29369948388</v>
          </cell>
          <cell r="Y35">
            <v>102677.08637647287</v>
          </cell>
          <cell r="Z35">
            <v>107003.60307722271</v>
          </cell>
          <cell r="AA35">
            <v>95582.52994449313</v>
          </cell>
          <cell r="AB35">
            <v>75133.995520498589</v>
          </cell>
          <cell r="AC35">
            <v>73197.098062128731</v>
          </cell>
          <cell r="AD35">
            <v>67108.287077612229</v>
          </cell>
          <cell r="AE35">
            <v>62202.746129126499</v>
          </cell>
          <cell r="AF35">
            <v>59962.89804265264</v>
          </cell>
          <cell r="AG35">
            <v>61167.68916155419</v>
          </cell>
          <cell r="AH35">
            <v>79279.189794527221</v>
          </cell>
          <cell r="AI35">
            <v>89449.800370045763</v>
          </cell>
        </row>
        <row r="36">
          <cell r="A36">
            <v>33</v>
          </cell>
          <cell r="B36" t="str">
            <v>Outdoor Lights</v>
          </cell>
          <cell r="C36"/>
          <cell r="D36">
            <v>16121.989982471516</v>
          </cell>
          <cell r="E36">
            <v>1442.1073132729575</v>
          </cell>
          <cell r="F36">
            <v>1388.4506767942351</v>
          </cell>
          <cell r="G36">
            <v>1388.4506767942351</v>
          </cell>
          <cell r="H36">
            <v>1387.3794916739703</v>
          </cell>
          <cell r="I36">
            <v>1385.1397409679619</v>
          </cell>
          <cell r="J36">
            <v>1385.1397409679619</v>
          </cell>
          <cell r="K36">
            <v>1385.1397409679619</v>
          </cell>
          <cell r="L36">
            <v>1385.1397409679619</v>
          </cell>
          <cell r="M36">
            <v>1295.7444736585842</v>
          </cell>
          <cell r="N36">
            <v>1295.77</v>
          </cell>
          <cell r="O36">
            <v>1226.5283864056871</v>
          </cell>
          <cell r="P36">
            <v>1157</v>
          </cell>
          <cell r="T36">
            <v>33</v>
          </cell>
          <cell r="U36" t="str">
            <v>Outdoor Lights</v>
          </cell>
          <cell r="X36">
            <v>1646.0220079851981</v>
          </cell>
          <cell r="Y36">
            <v>1646.0220079851981</v>
          </cell>
          <cell r="Z36">
            <v>1580.5823351835622</v>
          </cell>
          <cell r="AA36">
            <v>1589.9308598695102</v>
          </cell>
          <cell r="AB36">
            <v>1524.4911870678741</v>
          </cell>
          <cell r="AC36">
            <v>1498.1984613886455</v>
          </cell>
          <cell r="AD36">
            <v>1498.1984613886455</v>
          </cell>
          <cell r="AE36">
            <v>1498.1984613886455</v>
          </cell>
          <cell r="AF36">
            <v>1498.1984613886455</v>
          </cell>
          <cell r="AG36">
            <v>1460.8043626448534</v>
          </cell>
          <cell r="AH36">
            <v>1460.8043626448534</v>
          </cell>
          <cell r="AI36">
            <v>1460.8043626448534</v>
          </cell>
        </row>
        <row r="37">
          <cell r="A37">
            <v>34</v>
          </cell>
          <cell r="B37" t="str">
            <v>Interdepartmental/Special Contracts</v>
          </cell>
          <cell r="C37"/>
          <cell r="D37">
            <v>2064669.5386941277</v>
          </cell>
          <cell r="E37">
            <v>159342.1949556919</v>
          </cell>
          <cell r="F37">
            <v>133477.4564222417</v>
          </cell>
          <cell r="G37">
            <v>210268.38056285909</v>
          </cell>
          <cell r="H37">
            <v>165391.85899308597</v>
          </cell>
          <cell r="I37">
            <v>164903.69071964163</v>
          </cell>
          <cell r="J37">
            <v>174935.7288927841</v>
          </cell>
          <cell r="K37">
            <v>145961.2425747395</v>
          </cell>
          <cell r="L37">
            <v>156281.13740383679</v>
          </cell>
          <cell r="M37">
            <v>163115.00632973024</v>
          </cell>
          <cell r="N37">
            <v>176991.65</v>
          </cell>
          <cell r="O37">
            <v>203650.19183951701</v>
          </cell>
          <cell r="P37">
            <v>210351</v>
          </cell>
          <cell r="T37">
            <v>34</v>
          </cell>
          <cell r="U37" t="str">
            <v>Interdepartmental/Special Contracts</v>
          </cell>
          <cell r="X37">
            <v>156877.31619437141</v>
          </cell>
          <cell r="Y37">
            <v>143103.33138572404</v>
          </cell>
          <cell r="Z37">
            <v>168188.31823936119</v>
          </cell>
          <cell r="AA37">
            <v>158180.79170318431</v>
          </cell>
          <cell r="AB37">
            <v>162190.17820625182</v>
          </cell>
          <cell r="AC37">
            <v>149222.46080436264</v>
          </cell>
          <cell r="AD37">
            <v>112924.40743986756</v>
          </cell>
          <cell r="AE37">
            <v>120368.30265848669</v>
          </cell>
          <cell r="AF37">
            <v>138424.64212678935</v>
          </cell>
          <cell r="AG37">
            <v>160203.00516116468</v>
          </cell>
          <cell r="AH37">
            <v>157724.96835134871</v>
          </cell>
          <cell r="AI37">
            <v>168057.2431590223</v>
          </cell>
        </row>
        <row r="38">
          <cell r="A38">
            <v>35</v>
          </cell>
          <cell r="B38" t="str">
            <v>Unbilled</v>
          </cell>
          <cell r="C38"/>
          <cell r="D38">
            <v>210377</v>
          </cell>
          <cell r="E38">
            <v>35169</v>
          </cell>
          <cell r="F38">
            <v>-32050</v>
          </cell>
          <cell r="G38">
            <v>0</v>
          </cell>
          <cell r="H38">
            <v>0</v>
          </cell>
          <cell r="I38">
            <v>0</v>
          </cell>
          <cell r="J38">
            <v>-53888</v>
          </cell>
          <cell r="K38">
            <v>-17611</v>
          </cell>
          <cell r="L38">
            <v>-2096</v>
          </cell>
          <cell r="M38">
            <v>-22630</v>
          </cell>
          <cell r="N38">
            <v>35595</v>
          </cell>
          <cell r="O38">
            <v>0</v>
          </cell>
          <cell r="P38">
            <v>267888</v>
          </cell>
          <cell r="T38">
            <v>35</v>
          </cell>
          <cell r="U38" t="str">
            <v>Unbilled</v>
          </cell>
          <cell r="X38">
            <v>6370</v>
          </cell>
          <cell r="Y38">
            <v>0</v>
          </cell>
          <cell r="Z38">
            <v>0</v>
          </cell>
          <cell r="AA38">
            <v>-17949</v>
          </cell>
          <cell r="AB38">
            <v>0</v>
          </cell>
          <cell r="AC38">
            <v>-5036.4202940890054</v>
          </cell>
          <cell r="AD38">
            <v>-21569</v>
          </cell>
          <cell r="AE38">
            <v>0</v>
          </cell>
          <cell r="AF38">
            <v>-24505</v>
          </cell>
          <cell r="AG38">
            <v>23574</v>
          </cell>
          <cell r="AH38">
            <v>35817</v>
          </cell>
          <cell r="AI38">
            <v>32339</v>
          </cell>
        </row>
        <row r="39">
          <cell r="A39">
            <v>36</v>
          </cell>
          <cell r="B39" t="str">
            <v>Commercial Small Transp</v>
          </cell>
          <cell r="C39"/>
          <cell r="D39">
            <v>608252.37865809724</v>
          </cell>
          <cell r="E39">
            <v>59402.083941961238</v>
          </cell>
          <cell r="F39">
            <v>54789.755575031646</v>
          </cell>
          <cell r="G39">
            <v>51459.927938455548</v>
          </cell>
          <cell r="H39">
            <v>53379.881195832117</v>
          </cell>
          <cell r="I39">
            <v>47579.316389132342</v>
          </cell>
          <cell r="J39">
            <v>49190.184049079755</v>
          </cell>
          <cell r="K39">
            <v>43807.381439283279</v>
          </cell>
          <cell r="L39">
            <v>44689.745836985101</v>
          </cell>
          <cell r="M39">
            <v>46887.330801441232</v>
          </cell>
          <cell r="N39">
            <v>43946.76</v>
          </cell>
          <cell r="O39">
            <v>53538.011490894933</v>
          </cell>
          <cell r="P39">
            <v>59582</v>
          </cell>
          <cell r="T39">
            <v>36</v>
          </cell>
          <cell r="U39" t="str">
            <v>Commercial Small Transp</v>
          </cell>
          <cell r="X39">
            <v>39610.478138085498</v>
          </cell>
          <cell r="Y39">
            <v>38615.834063686823</v>
          </cell>
          <cell r="Z39">
            <v>40376.278118609407</v>
          </cell>
          <cell r="AA39">
            <v>42682.929204401597</v>
          </cell>
          <cell r="AB39">
            <v>36585.451358457496</v>
          </cell>
          <cell r="AC39">
            <v>38135.35884701529</v>
          </cell>
          <cell r="AD39">
            <v>37049.761417859576</v>
          </cell>
          <cell r="AE39">
            <v>36316.291751874574</v>
          </cell>
          <cell r="AF39">
            <v>36551.855097867367</v>
          </cell>
          <cell r="AG39">
            <v>38363.91079949362</v>
          </cell>
          <cell r="AH39">
            <v>45156.100886162232</v>
          </cell>
          <cell r="AI39">
            <v>51275.294575908076</v>
          </cell>
        </row>
        <row r="40">
          <cell r="A40">
            <v>37</v>
          </cell>
          <cell r="B40" t="str">
            <v>Commercial Large Transp</v>
          </cell>
          <cell r="C40"/>
          <cell r="D40">
            <v>3140203.782129711</v>
          </cell>
          <cell r="E40">
            <v>299415.81458759372</v>
          </cell>
          <cell r="F40">
            <v>276740.87058136135</v>
          </cell>
          <cell r="G40">
            <v>272869.51017625863</v>
          </cell>
          <cell r="H40">
            <v>277765.11831726553</v>
          </cell>
          <cell r="I40">
            <v>257994.25455253676</v>
          </cell>
          <cell r="J40">
            <v>253157.17207128249</v>
          </cell>
          <cell r="K40">
            <v>237891.42078099132</v>
          </cell>
          <cell r="L40">
            <v>242211.89989288148</v>
          </cell>
          <cell r="M40">
            <v>238763.46284935242</v>
          </cell>
          <cell r="N40">
            <v>235723.01</v>
          </cell>
          <cell r="O40">
            <v>261890.24832018701</v>
          </cell>
          <cell r="P40">
            <v>285781</v>
          </cell>
          <cell r="T40">
            <v>37</v>
          </cell>
          <cell r="U40" t="str">
            <v>Commercial Large Transp</v>
          </cell>
          <cell r="X40">
            <v>291922.09562761709</v>
          </cell>
          <cell r="Y40">
            <v>268504.91771350667</v>
          </cell>
          <cell r="Z40">
            <v>286086.76599474146</v>
          </cell>
          <cell r="AA40">
            <v>250198.36400817995</v>
          </cell>
          <cell r="AB40">
            <v>243418.93076248904</v>
          </cell>
          <cell r="AC40">
            <v>240632.68088421461</v>
          </cell>
          <cell r="AD40">
            <v>237388.35329632874</v>
          </cell>
          <cell r="AE40">
            <v>229373.64884604147</v>
          </cell>
          <cell r="AF40">
            <v>213083.64981984615</v>
          </cell>
          <cell r="AG40">
            <v>245338.39711753823</v>
          </cell>
          <cell r="AH40">
            <v>244659.1683708248</v>
          </cell>
          <cell r="AI40">
            <v>275162.7227578148</v>
          </cell>
        </row>
        <row r="41">
          <cell r="A41">
            <v>38</v>
          </cell>
          <cell r="B41" t="str">
            <v>Interruptible Transp</v>
          </cell>
          <cell r="C41"/>
          <cell r="D41">
            <v>1004244.1990914402</v>
          </cell>
          <cell r="E41">
            <v>89552.049858798331</v>
          </cell>
          <cell r="F41">
            <v>77045.574057844002</v>
          </cell>
          <cell r="G41">
            <v>89081.604830071083</v>
          </cell>
          <cell r="H41">
            <v>81035.933391761617</v>
          </cell>
          <cell r="I41">
            <v>83842.925309182974</v>
          </cell>
          <cell r="J41">
            <v>89453.890349595866</v>
          </cell>
          <cell r="K41">
            <v>85471.808355243935</v>
          </cell>
          <cell r="L41">
            <v>81501.801538611355</v>
          </cell>
          <cell r="M41">
            <v>79464.602200798516</v>
          </cell>
          <cell r="N41">
            <v>86792.63</v>
          </cell>
          <cell r="O41">
            <v>82474.379199532559</v>
          </cell>
          <cell r="P41">
            <v>78527</v>
          </cell>
          <cell r="T41">
            <v>38</v>
          </cell>
          <cell r="U41" t="str">
            <v>Interruptible Transp</v>
          </cell>
          <cell r="X41">
            <v>69243.645924627519</v>
          </cell>
          <cell r="Y41">
            <v>58727.918979452719</v>
          </cell>
          <cell r="Z41">
            <v>65021.715843801736</v>
          </cell>
          <cell r="AA41">
            <v>71748.174116272276</v>
          </cell>
          <cell r="AB41">
            <v>74609.991235758105</v>
          </cell>
          <cell r="AC41">
            <v>72171.876521569779</v>
          </cell>
          <cell r="AD41">
            <v>76800.856948096218</v>
          </cell>
          <cell r="AE41">
            <v>79127.373648846042</v>
          </cell>
          <cell r="AF41">
            <v>62629.272567922875</v>
          </cell>
          <cell r="AG41">
            <v>76687.116564417171</v>
          </cell>
          <cell r="AH41">
            <v>76549.907488557801</v>
          </cell>
          <cell r="AI41">
            <v>79389.034959587108</v>
          </cell>
        </row>
        <row r="42">
          <cell r="A42">
            <v>39</v>
          </cell>
          <cell r="D42">
            <v>10031161.607445713</v>
          </cell>
          <cell r="E42">
            <v>1046769.8374720032</v>
          </cell>
          <cell r="F42">
            <v>833559.11481156875</v>
          </cell>
          <cell r="G42">
            <v>917553.41318531509</v>
          </cell>
          <cell r="H42">
            <v>868352.03038270515</v>
          </cell>
          <cell r="I42">
            <v>784894.34219495568</v>
          </cell>
          <cell r="J42">
            <v>725504.05375401699</v>
          </cell>
          <cell r="K42">
            <v>671133.47365858406</v>
          </cell>
          <cell r="L42">
            <v>696652.3688772032</v>
          </cell>
          <cell r="M42">
            <v>686614.32758788578</v>
          </cell>
          <cell r="N42">
            <v>746924.94000000006</v>
          </cell>
          <cell r="O42">
            <v>836195.70552147448</v>
          </cell>
          <cell r="P42">
            <v>1217008</v>
          </cell>
          <cell r="T42">
            <v>39</v>
          </cell>
          <cell r="U42"/>
          <cell r="V42"/>
          <cell r="W42"/>
          <cell r="X42">
            <v>933478.40003895212</v>
          </cell>
          <cell r="Y42">
            <v>844316.30246372579</v>
          </cell>
          <cell r="Z42">
            <v>890824.79696172953</v>
          </cell>
          <cell r="AA42">
            <v>805000.41571720713</v>
          </cell>
          <cell r="AB42">
            <v>742264.5768818775</v>
          </cell>
          <cell r="AC42">
            <v>706326.56052195933</v>
          </cell>
          <cell r="AD42">
            <v>633407.89551076049</v>
          </cell>
          <cell r="AE42">
            <v>639164.58272470534</v>
          </cell>
          <cell r="AF42">
            <v>652519.70055506856</v>
          </cell>
          <cell r="AG42">
            <v>734413.09436167101</v>
          </cell>
          <cell r="AH42">
            <v>802172.50686532282</v>
          </cell>
          <cell r="AI42">
            <v>910140.91157853743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671</v>
          </cell>
          <cell r="F45">
            <v>671</v>
          </cell>
          <cell r="G45">
            <v>673</v>
          </cell>
          <cell r="H45">
            <v>670</v>
          </cell>
          <cell r="I45">
            <v>671</v>
          </cell>
          <cell r="J45">
            <v>667</v>
          </cell>
          <cell r="K45">
            <v>669</v>
          </cell>
          <cell r="L45">
            <v>673</v>
          </cell>
          <cell r="M45">
            <v>671</v>
          </cell>
          <cell r="N45">
            <v>668</v>
          </cell>
          <cell r="O45">
            <v>672</v>
          </cell>
          <cell r="P45">
            <v>668</v>
          </cell>
          <cell r="T45">
            <v>42</v>
          </cell>
          <cell r="U45" t="str">
            <v>TS1 - RS</v>
          </cell>
          <cell r="X45">
            <v>673</v>
          </cell>
          <cell r="Y45">
            <v>671</v>
          </cell>
          <cell r="Z45">
            <v>674</v>
          </cell>
          <cell r="AA45">
            <v>679</v>
          </cell>
          <cell r="AB45">
            <v>672</v>
          </cell>
          <cell r="AC45">
            <v>679</v>
          </cell>
          <cell r="AD45">
            <v>675</v>
          </cell>
          <cell r="AE45">
            <v>673</v>
          </cell>
          <cell r="AF45">
            <v>670</v>
          </cell>
          <cell r="AG45">
            <v>671</v>
          </cell>
          <cell r="AH45">
            <v>670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43</v>
          </cell>
          <cell r="U46" t="str">
            <v>TS1 - Com</v>
          </cell>
          <cell r="X46"/>
          <cell r="Y46"/>
          <cell r="Z46"/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23</v>
          </cell>
          <cell r="F47">
            <v>23</v>
          </cell>
          <cell r="G47">
            <v>23</v>
          </cell>
          <cell r="H47">
            <v>24</v>
          </cell>
          <cell r="I47">
            <v>23</v>
          </cell>
          <cell r="J47">
            <v>23</v>
          </cell>
          <cell r="K47">
            <v>23</v>
          </cell>
          <cell r="L47">
            <v>23</v>
          </cell>
          <cell r="M47">
            <v>23</v>
          </cell>
          <cell r="N47">
            <v>23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23</v>
          </cell>
          <cell r="AC47">
            <v>23</v>
          </cell>
          <cell r="AD47">
            <v>24</v>
          </cell>
          <cell r="AE47">
            <v>24</v>
          </cell>
          <cell r="AF47">
            <v>23</v>
          </cell>
          <cell r="AG47">
            <v>23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1</v>
          </cell>
          <cell r="AD49">
            <v>1</v>
          </cell>
          <cell r="AE49">
            <v>1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697</v>
          </cell>
          <cell r="F50">
            <v>697</v>
          </cell>
          <cell r="G50">
            <v>699</v>
          </cell>
          <cell r="H50">
            <v>697</v>
          </cell>
          <cell r="I50">
            <v>697</v>
          </cell>
          <cell r="J50">
            <v>693</v>
          </cell>
          <cell r="K50">
            <v>695</v>
          </cell>
          <cell r="L50">
            <v>699</v>
          </cell>
          <cell r="M50">
            <v>697</v>
          </cell>
          <cell r="N50">
            <v>694</v>
          </cell>
          <cell r="O50">
            <v>698</v>
          </cell>
          <cell r="P50">
            <v>694</v>
          </cell>
          <cell r="T50">
            <v>47</v>
          </cell>
          <cell r="U50"/>
          <cell r="V50"/>
          <cell r="W50"/>
          <cell r="X50">
            <v>700</v>
          </cell>
          <cell r="Y50">
            <v>698</v>
          </cell>
          <cell r="Z50">
            <v>701</v>
          </cell>
          <cell r="AA50">
            <v>706</v>
          </cell>
          <cell r="AB50">
            <v>698</v>
          </cell>
          <cell r="AC50">
            <v>704</v>
          </cell>
          <cell r="AD50">
            <v>701</v>
          </cell>
          <cell r="AE50">
            <v>699</v>
          </cell>
          <cell r="AF50">
            <v>696</v>
          </cell>
          <cell r="AG50">
            <v>697</v>
          </cell>
          <cell r="AH50">
            <v>696</v>
          </cell>
          <cell r="AI50">
            <v>698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11319.602687700848</v>
          </cell>
          <cell r="E53">
            <v>1222.3196026877008</v>
          </cell>
          <cell r="F53">
            <v>957.24997565488366</v>
          </cell>
          <cell r="G53">
            <v>982.76365761028342</v>
          </cell>
          <cell r="H53">
            <v>944.20099328074787</v>
          </cell>
          <cell r="I53">
            <v>979.55010224948876</v>
          </cell>
          <cell r="J53">
            <v>868.34161067289904</v>
          </cell>
          <cell r="K53">
            <v>851.59217061057552</v>
          </cell>
          <cell r="L53">
            <v>816.53520303827054</v>
          </cell>
          <cell r="M53">
            <v>817.02210536566361</v>
          </cell>
          <cell r="N53">
            <v>843.02268964845655</v>
          </cell>
          <cell r="O53">
            <v>935.04722952575707</v>
          </cell>
          <cell r="P53">
            <v>1101.9573473561204</v>
          </cell>
          <cell r="T53">
            <v>50</v>
          </cell>
          <cell r="U53" t="str">
            <v>TS1 - RS</v>
          </cell>
          <cell r="V53"/>
          <cell r="W53"/>
          <cell r="X53">
            <v>1117.8303632291363</v>
          </cell>
          <cell r="Y53">
            <v>372.2855195247833</v>
          </cell>
          <cell r="Z53">
            <v>999.31833674164966</v>
          </cell>
          <cell r="AA53">
            <v>923.16681273736492</v>
          </cell>
          <cell r="AB53">
            <v>834.5505891518161</v>
          </cell>
          <cell r="AC53">
            <v>948.87525562372184</v>
          </cell>
          <cell r="AD53">
            <v>808.93952673093781</v>
          </cell>
          <cell r="AE53">
            <v>842.53578732106337</v>
          </cell>
          <cell r="AF53">
            <v>833.38202356607269</v>
          </cell>
          <cell r="AG53">
            <v>892.68672704255528</v>
          </cell>
          <cell r="AH53">
            <v>960.65829194663547</v>
          </cell>
          <cell r="AI53">
            <v>1039.8286103807577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  <cell r="Y54"/>
          <cell r="Z54"/>
          <cell r="AA54">
            <v>0</v>
          </cell>
          <cell r="AB54"/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8317.7524588567521</v>
          </cell>
          <cell r="E55">
            <v>781.86775732787999</v>
          </cell>
          <cell r="F55">
            <v>670.65926575129026</v>
          </cell>
          <cell r="G55">
            <v>693.44629467328855</v>
          </cell>
          <cell r="H55">
            <v>677.08637647287958</v>
          </cell>
          <cell r="I55">
            <v>734.15132924335376</v>
          </cell>
          <cell r="J55">
            <v>651.96221637939425</v>
          </cell>
          <cell r="K55">
            <v>687.99298860648548</v>
          </cell>
          <cell r="L55">
            <v>642.71107215892494</v>
          </cell>
          <cell r="M55">
            <v>638.62109260882266</v>
          </cell>
          <cell r="N55">
            <v>695.19914305190377</v>
          </cell>
          <cell r="O55">
            <v>699.09436167104877</v>
          </cell>
          <cell r="P55">
            <v>744.96056091148114</v>
          </cell>
          <cell r="T55">
            <v>52</v>
          </cell>
          <cell r="U55" t="str">
            <v>TS2</v>
          </cell>
          <cell r="X55">
            <v>761.80738143928329</v>
          </cell>
          <cell r="Y55">
            <v>39.24432758788587</v>
          </cell>
          <cell r="Z55">
            <v>705.42409192715945</v>
          </cell>
          <cell r="AA55">
            <v>675.2361476287856</v>
          </cell>
          <cell r="AB55">
            <v>647.87223682929209</v>
          </cell>
          <cell r="AC55">
            <v>687.60346674457105</v>
          </cell>
          <cell r="AD55">
            <v>576.10283377154542</v>
          </cell>
          <cell r="AE55">
            <v>673.58067971564901</v>
          </cell>
          <cell r="AF55">
            <v>700.74982958418536</v>
          </cell>
          <cell r="AG55">
            <v>710.68263706300513</v>
          </cell>
          <cell r="AH55">
            <v>675.91781088713606</v>
          </cell>
          <cell r="AI55">
            <v>689.25893465770764</v>
          </cell>
        </row>
        <row r="56">
          <cell r="A56">
            <v>53</v>
          </cell>
          <cell r="B56" t="str">
            <v>TS3</v>
          </cell>
          <cell r="D56">
            <v>373.2593241795696</v>
          </cell>
          <cell r="E56">
            <v>33.304119193689743</v>
          </cell>
          <cell r="F56">
            <v>26.682247541143248</v>
          </cell>
          <cell r="G56">
            <v>28.727237316194373</v>
          </cell>
          <cell r="H56">
            <v>34.277923848475993</v>
          </cell>
          <cell r="I56">
            <v>28.727237316194373</v>
          </cell>
          <cell r="J56">
            <v>36.907196416398868</v>
          </cell>
          <cell r="K56">
            <v>25.80582335183562</v>
          </cell>
          <cell r="L56">
            <v>38.854805725971367</v>
          </cell>
          <cell r="M56">
            <v>31.356509884117244</v>
          </cell>
          <cell r="N56">
            <v>28.92199824715162</v>
          </cell>
          <cell r="O56">
            <v>18.502288440938749</v>
          </cell>
          <cell r="P56">
            <v>41.191936897458369</v>
          </cell>
          <cell r="T56">
            <v>53</v>
          </cell>
          <cell r="U56" t="str">
            <v>TS3</v>
          </cell>
          <cell r="X56">
            <v>29.214139643587497</v>
          </cell>
          <cell r="Y56">
            <v>1.3633265167007498</v>
          </cell>
          <cell r="Z56">
            <v>17.723244717109747</v>
          </cell>
          <cell r="AA56">
            <v>11.685655857434998</v>
          </cell>
          <cell r="AB56">
            <v>23.176550783912745</v>
          </cell>
          <cell r="AC56">
            <v>17.041581458759374</v>
          </cell>
          <cell r="AD56">
            <v>15.191352614665497</v>
          </cell>
          <cell r="AE56">
            <v>22.105365663647873</v>
          </cell>
          <cell r="AF56">
            <v>19.670854026682246</v>
          </cell>
          <cell r="AG56">
            <v>15.386113545622749</v>
          </cell>
          <cell r="AH56">
            <v>6.3297302561106239</v>
          </cell>
          <cell r="AI56">
            <v>39.341708053364492</v>
          </cell>
        </row>
        <row r="57">
          <cell r="A57">
            <v>54</v>
          </cell>
          <cell r="B57" t="str">
            <v>TS4</v>
          </cell>
          <cell r="D57">
            <v>19913.136624793064</v>
          </cell>
          <cell r="E57">
            <v>0</v>
          </cell>
          <cell r="F57">
            <v>0</v>
          </cell>
          <cell r="G57">
            <v>0</v>
          </cell>
          <cell r="H57">
            <v>9165.1572694517472</v>
          </cell>
          <cell r="I57">
            <v>10747.979355341318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1420.0019476093096</v>
          </cell>
          <cell r="AC57">
            <v>0</v>
          </cell>
          <cell r="AD57">
            <v>24665.595481546403</v>
          </cell>
          <cell r="AE57">
            <v>15413.380075956762</v>
          </cell>
          <cell r="AF57">
            <v>5939.4293504722955</v>
          </cell>
          <cell r="AG57">
            <v>8114.5194274028627</v>
          </cell>
          <cell r="AH57">
            <v>0</v>
          </cell>
          <cell r="AI57">
            <v>0.29214139643587494</v>
          </cell>
        </row>
        <row r="58">
          <cell r="A58">
            <v>55</v>
          </cell>
          <cell r="D58">
            <v>39923.751095530235</v>
          </cell>
          <cell r="E58">
            <v>2037.4914792092707</v>
          </cell>
          <cell r="F58">
            <v>1654.591488947317</v>
          </cell>
          <cell r="G58">
            <v>1704.9371895997663</v>
          </cell>
          <cell r="H58">
            <v>10820.722563053851</v>
          </cell>
          <cell r="I58">
            <v>12490.408024150354</v>
          </cell>
          <cell r="J58">
            <v>1557.2110234686922</v>
          </cell>
          <cell r="K58">
            <v>1565.3909825688968</v>
          </cell>
          <cell r="L58">
            <v>1498.1010809231668</v>
          </cell>
          <cell r="M58">
            <v>1486.9997078586034</v>
          </cell>
          <cell r="N58">
            <v>1567.1438309475118</v>
          </cell>
          <cell r="O58">
            <v>1652.6438796377447</v>
          </cell>
          <cell r="P58">
            <v>1888.1098451650598</v>
          </cell>
          <cell r="T58">
            <v>55</v>
          </cell>
          <cell r="U58"/>
          <cell r="V58"/>
          <cell r="W58"/>
          <cell r="X58">
            <v>1908.8518843120071</v>
          </cell>
          <cell r="Y58">
            <v>412.89317362936993</v>
          </cell>
          <cell r="Z58">
            <v>1722.465673385919</v>
          </cell>
          <cell r="AA58">
            <v>1610.0886162235856</v>
          </cell>
          <cell r="AB58">
            <v>2925.6013243743305</v>
          </cell>
          <cell r="AC58">
            <v>1653.5203038270522</v>
          </cell>
          <cell r="AD58">
            <v>26065.829194663551</v>
          </cell>
          <cell r="AE58">
            <v>16951.601908657121</v>
          </cell>
          <cell r="AF58">
            <v>7493.2320576492357</v>
          </cell>
          <cell r="AG58">
            <v>9733.274905054046</v>
          </cell>
          <cell r="AH58">
            <v>1642.9058330898822</v>
          </cell>
          <cell r="AI58">
            <v>1768.7213944882658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  <cell r="AA59"/>
          <cell r="AB59"/>
          <cell r="AC59"/>
          <cell r="AD59"/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582</v>
          </cell>
          <cell r="F62">
            <v>581</v>
          </cell>
          <cell r="G62">
            <v>584</v>
          </cell>
          <cell r="H62">
            <v>577</v>
          </cell>
          <cell r="I62">
            <v>565</v>
          </cell>
          <cell r="J62">
            <v>561</v>
          </cell>
          <cell r="K62">
            <v>561</v>
          </cell>
          <cell r="L62">
            <v>557</v>
          </cell>
          <cell r="M62">
            <v>560</v>
          </cell>
          <cell r="N62">
            <v>558</v>
          </cell>
          <cell r="O62">
            <v>560</v>
          </cell>
          <cell r="P62">
            <v>560</v>
          </cell>
          <cell r="T62">
            <v>59</v>
          </cell>
          <cell r="U62" t="str">
            <v>Residential</v>
          </cell>
          <cell r="V62"/>
          <cell r="W62"/>
          <cell r="X62">
            <v>612</v>
          </cell>
          <cell r="Y62">
            <v>613</v>
          </cell>
          <cell r="Z62">
            <v>616</v>
          </cell>
          <cell r="AA62">
            <v>608</v>
          </cell>
          <cell r="AB62">
            <v>592</v>
          </cell>
          <cell r="AC62">
            <v>583</v>
          </cell>
          <cell r="AD62">
            <v>575</v>
          </cell>
          <cell r="AE62">
            <v>571</v>
          </cell>
          <cell r="AF62">
            <v>571</v>
          </cell>
          <cell r="AG62">
            <v>566</v>
          </cell>
          <cell r="AH62">
            <v>574</v>
          </cell>
          <cell r="AI62">
            <v>576</v>
          </cell>
        </row>
        <row r="63">
          <cell r="A63">
            <v>60</v>
          </cell>
          <cell r="B63" t="str">
            <v>Commercial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60</v>
          </cell>
          <cell r="U63" t="str">
            <v>Commercial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A64">
            <v>61</v>
          </cell>
          <cell r="B64" t="str">
            <v>Commercial Small Transp</v>
          </cell>
          <cell r="E64">
            <v>19</v>
          </cell>
          <cell r="F64">
            <v>18</v>
          </cell>
          <cell r="G64">
            <v>21</v>
          </cell>
          <cell r="H64">
            <v>21</v>
          </cell>
          <cell r="I64">
            <v>21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T64">
            <v>61</v>
          </cell>
          <cell r="U64" t="str">
            <v>Special Contract</v>
          </cell>
          <cell r="X64">
            <v>19</v>
          </cell>
          <cell r="Y64">
            <v>18</v>
          </cell>
          <cell r="Z64">
            <v>18</v>
          </cell>
          <cell r="AA64">
            <v>19</v>
          </cell>
          <cell r="AB64">
            <v>20</v>
          </cell>
          <cell r="AC64">
            <v>19</v>
          </cell>
          <cell r="AD64">
            <v>20</v>
          </cell>
          <cell r="AE64">
            <v>20</v>
          </cell>
          <cell r="AF64">
            <v>20</v>
          </cell>
          <cell r="AG64">
            <v>20</v>
          </cell>
          <cell r="AH64">
            <v>20</v>
          </cell>
          <cell r="AI64">
            <v>19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7</v>
          </cell>
          <cell r="Y65">
            <v>7</v>
          </cell>
          <cell r="Z65">
            <v>7</v>
          </cell>
          <cell r="AA65">
            <v>7</v>
          </cell>
          <cell r="AB65">
            <v>7</v>
          </cell>
          <cell r="AC65">
            <v>7</v>
          </cell>
          <cell r="AD65">
            <v>7</v>
          </cell>
          <cell r="AE65">
            <v>7</v>
          </cell>
          <cell r="AF65">
            <v>7</v>
          </cell>
          <cell r="AG65">
            <v>7</v>
          </cell>
          <cell r="AH65">
            <v>7</v>
          </cell>
          <cell r="AI65">
            <v>7</v>
          </cell>
        </row>
        <row r="66">
          <cell r="A66">
            <v>63</v>
          </cell>
          <cell r="D66"/>
          <cell r="E66">
            <v>608</v>
          </cell>
          <cell r="F66">
            <v>606</v>
          </cell>
          <cell r="G66">
            <v>612</v>
          </cell>
          <cell r="H66">
            <v>605</v>
          </cell>
          <cell r="I66">
            <v>593</v>
          </cell>
          <cell r="J66">
            <v>588</v>
          </cell>
          <cell r="K66">
            <v>588</v>
          </cell>
          <cell r="L66">
            <v>584</v>
          </cell>
          <cell r="M66">
            <v>587</v>
          </cell>
          <cell r="N66">
            <v>585</v>
          </cell>
          <cell r="O66">
            <v>587</v>
          </cell>
          <cell r="P66">
            <v>587</v>
          </cell>
          <cell r="T66">
            <v>63</v>
          </cell>
          <cell r="W66"/>
          <cell r="X66">
            <v>638</v>
          </cell>
          <cell r="Y66">
            <v>638</v>
          </cell>
          <cell r="Z66">
            <v>641</v>
          </cell>
          <cell r="AA66">
            <v>634</v>
          </cell>
          <cell r="AB66">
            <v>619</v>
          </cell>
          <cell r="AC66">
            <v>609</v>
          </cell>
          <cell r="AD66">
            <v>602</v>
          </cell>
          <cell r="AE66">
            <v>598</v>
          </cell>
          <cell r="AF66">
            <v>598</v>
          </cell>
          <cell r="AG66">
            <v>593</v>
          </cell>
          <cell r="AH66">
            <v>601</v>
          </cell>
          <cell r="AI66">
            <v>602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7056.1885285811659</v>
          </cell>
          <cell r="E69">
            <v>1224.5593533937092</v>
          </cell>
          <cell r="F69">
            <v>812.93212581556134</v>
          </cell>
          <cell r="G69">
            <v>570.55214723926383</v>
          </cell>
          <cell r="H69">
            <v>624.40354464894347</v>
          </cell>
          <cell r="I69">
            <v>462.07030869607559</v>
          </cell>
          <cell r="J69">
            <v>519.13526146654976</v>
          </cell>
          <cell r="K69">
            <v>404.6158340636868</v>
          </cell>
          <cell r="L69">
            <v>432.27188625961634</v>
          </cell>
          <cell r="M69">
            <v>437.91995325737656</v>
          </cell>
          <cell r="N69">
            <v>382.60784886551755</v>
          </cell>
          <cell r="O69">
            <v>473.46382315707467</v>
          </cell>
          <cell r="P69">
            <v>711.65644171779138</v>
          </cell>
          <cell r="T69">
            <v>66</v>
          </cell>
          <cell r="U69" t="str">
            <v>Residential</v>
          </cell>
          <cell r="V69"/>
          <cell r="W69"/>
          <cell r="X69">
            <v>774.9537442788976</v>
          </cell>
          <cell r="Y69">
            <v>822.18327003603076</v>
          </cell>
          <cell r="Z69">
            <v>630.34375304313949</v>
          </cell>
          <cell r="AA69">
            <v>587.39896776706587</v>
          </cell>
          <cell r="AB69">
            <v>439.38066023955594</v>
          </cell>
          <cell r="AC69">
            <v>470.25026779628007</v>
          </cell>
          <cell r="AD69">
            <v>402.37608335767845</v>
          </cell>
          <cell r="AE69">
            <v>404.32369266725095</v>
          </cell>
          <cell r="AF69">
            <v>492.35563345992796</v>
          </cell>
          <cell r="AG69">
            <v>494.49800370045767</v>
          </cell>
          <cell r="AH69">
            <v>548.54416204109452</v>
          </cell>
          <cell r="AI69">
            <v>858.50618365955791</v>
          </cell>
        </row>
        <row r="70">
          <cell r="A70">
            <v>67</v>
          </cell>
          <cell r="B70" t="str">
            <v>Commercial</v>
          </cell>
          <cell r="D70">
            <v>3759.9571525951901</v>
          </cell>
          <cell r="E70">
            <v>603.95364689843211</v>
          </cell>
          <cell r="F70">
            <v>543.86989969812055</v>
          </cell>
          <cell r="G70">
            <v>402.86298568507158</v>
          </cell>
          <cell r="H70">
            <v>443.95754211705133</v>
          </cell>
          <cell r="I70">
            <v>294.67328853831918</v>
          </cell>
          <cell r="J70">
            <v>220.76151524004285</v>
          </cell>
          <cell r="K70">
            <v>105.36566364787224</v>
          </cell>
          <cell r="L70">
            <v>109.26088226701724</v>
          </cell>
          <cell r="M70">
            <v>130.87934560327199</v>
          </cell>
          <cell r="N70">
            <v>156.87992988606484</v>
          </cell>
          <cell r="O70">
            <v>172.94770669003799</v>
          </cell>
          <cell r="P70">
            <v>574.54474632388747</v>
          </cell>
          <cell r="T70">
            <v>67</v>
          </cell>
          <cell r="U70" t="str">
            <v>Commercial</v>
          </cell>
          <cell r="X70">
            <v>571.0390495666569</v>
          </cell>
          <cell r="Y70">
            <v>612.42574739507256</v>
          </cell>
          <cell r="Z70">
            <v>505.98889862693545</v>
          </cell>
          <cell r="AA70">
            <v>455.64319797448633</v>
          </cell>
          <cell r="AB70">
            <v>318.53150258058236</v>
          </cell>
          <cell r="AC70">
            <v>168.46820527802123</v>
          </cell>
          <cell r="AD70">
            <v>181.41980718667836</v>
          </cell>
          <cell r="AE70">
            <v>127.17888791508423</v>
          </cell>
          <cell r="AF70">
            <v>140.03310935826272</v>
          </cell>
          <cell r="AG70">
            <v>114.81156879929885</v>
          </cell>
          <cell r="AH70">
            <v>299.83445320868634</v>
          </cell>
          <cell r="AI70">
            <v>295.93923458954134</v>
          </cell>
        </row>
        <row r="71">
          <cell r="A71">
            <v>68</v>
          </cell>
          <cell r="B71" t="str">
            <v>Commercial Small Transp</v>
          </cell>
          <cell r="D71">
            <v>2501.4120167494402</v>
          </cell>
          <cell r="E71">
            <v>224.94887525562373</v>
          </cell>
          <cell r="F71">
            <v>227.87028921998248</v>
          </cell>
          <cell r="G71">
            <v>211.51037101957348</v>
          </cell>
          <cell r="H71">
            <v>217.15843801733371</v>
          </cell>
          <cell r="I71">
            <v>217.45057941376959</v>
          </cell>
          <cell r="J71">
            <v>203.71993378128346</v>
          </cell>
          <cell r="K71">
            <v>158.53539779920149</v>
          </cell>
          <cell r="L71">
            <v>188.04167883922486</v>
          </cell>
          <cell r="M71">
            <v>213.94488265653911</v>
          </cell>
          <cell r="N71">
            <v>185.60716720225923</v>
          </cell>
          <cell r="O71">
            <v>228.84409387476873</v>
          </cell>
          <cell r="P71">
            <v>223.78030966988021</v>
          </cell>
          <cell r="T71">
            <v>68</v>
          </cell>
          <cell r="U71" t="str">
            <v>Special Contract</v>
          </cell>
          <cell r="X71">
            <v>175.96650111987535</v>
          </cell>
          <cell r="Y71">
            <v>210.34180543382996</v>
          </cell>
          <cell r="Z71">
            <v>204.30421657415522</v>
          </cell>
          <cell r="AA71">
            <v>193.98188723342096</v>
          </cell>
          <cell r="AB71">
            <v>182.00408997955009</v>
          </cell>
          <cell r="AC71">
            <v>188.62596163209659</v>
          </cell>
          <cell r="AD71">
            <v>148.99211218229624</v>
          </cell>
          <cell r="AE71">
            <v>161.65157269451748</v>
          </cell>
          <cell r="AF71">
            <v>155.90612523127859</v>
          </cell>
          <cell r="AG71">
            <v>146.9471224072451</v>
          </cell>
          <cell r="AH71">
            <v>220.85889570552146</v>
          </cell>
          <cell r="AI71">
            <v>130.68458467231474</v>
          </cell>
        </row>
        <row r="72">
          <cell r="A72">
            <v>69</v>
          </cell>
          <cell r="D72">
            <v>13317.557697925797</v>
          </cell>
          <cell r="E72">
            <v>2053.461875547765</v>
          </cell>
          <cell r="F72">
            <v>1584.6723147336643</v>
          </cell>
          <cell r="G72">
            <v>1184.925503943909</v>
          </cell>
          <cell r="H72">
            <v>1285.5195247833285</v>
          </cell>
          <cell r="I72">
            <v>974.19417664816433</v>
          </cell>
          <cell r="J72">
            <v>943.61671048787605</v>
          </cell>
          <cell r="K72">
            <v>668.51689551076049</v>
          </cell>
          <cell r="L72">
            <v>729.57444736585853</v>
          </cell>
          <cell r="M72">
            <v>782.74418151718771</v>
          </cell>
          <cell r="N72">
            <v>725.0949459538416</v>
          </cell>
          <cell r="O72">
            <v>875.25562372188142</v>
          </cell>
          <cell r="P72">
            <v>1509.9814977115591</v>
          </cell>
          <cell r="T72">
            <v>69</v>
          </cell>
          <cell r="X72">
            <v>1521.9592949654298</v>
          </cell>
          <cell r="Y72">
            <v>1644.9508228649333</v>
          </cell>
          <cell r="Z72">
            <v>1340.6368682442301</v>
          </cell>
          <cell r="AA72">
            <v>1237.0240529749733</v>
          </cell>
          <cell r="AB72">
            <v>939.91625279968844</v>
          </cell>
          <cell r="AC72">
            <v>827.34443470639792</v>
          </cell>
          <cell r="AD72">
            <v>732.78800272665308</v>
          </cell>
          <cell r="AE72">
            <v>693.15415327685264</v>
          </cell>
          <cell r="AF72">
            <v>788.29486804946919</v>
          </cell>
          <cell r="AG72">
            <v>756.2566949070017</v>
          </cell>
          <cell r="AH72">
            <v>1069.2375109553022</v>
          </cell>
          <cell r="AI72">
            <v>1285.130002921414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V75"/>
          <cell r="W75"/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C76"/>
          <cell r="D76">
            <v>741342</v>
          </cell>
          <cell r="E76">
            <v>61186</v>
          </cell>
          <cell r="F76">
            <v>61313</v>
          </cell>
          <cell r="G76">
            <v>61568</v>
          </cell>
          <cell r="H76">
            <v>61728</v>
          </cell>
          <cell r="I76">
            <v>61667</v>
          </cell>
          <cell r="J76">
            <v>61704</v>
          </cell>
          <cell r="K76">
            <v>61787</v>
          </cell>
          <cell r="L76">
            <v>61858</v>
          </cell>
          <cell r="M76">
            <v>61925</v>
          </cell>
          <cell r="N76">
            <v>61986</v>
          </cell>
          <cell r="O76">
            <v>62226</v>
          </cell>
          <cell r="P76">
            <v>62394</v>
          </cell>
          <cell r="T76">
            <v>73</v>
          </cell>
          <cell r="U76" t="str">
            <v xml:space="preserve">Customers </v>
          </cell>
          <cell r="V76"/>
          <cell r="W76"/>
          <cell r="X76">
            <v>59567</v>
          </cell>
          <cell r="Y76">
            <v>59710</v>
          </cell>
          <cell r="Z76">
            <v>59921</v>
          </cell>
          <cell r="AA76">
            <v>60111</v>
          </cell>
          <cell r="AB76">
            <v>60057</v>
          </cell>
          <cell r="AC76">
            <v>60052</v>
          </cell>
          <cell r="AD76">
            <v>60064</v>
          </cell>
          <cell r="AE76">
            <v>59939</v>
          </cell>
          <cell r="AF76">
            <v>59993</v>
          </cell>
          <cell r="AG76">
            <v>60079</v>
          </cell>
          <cell r="AH76">
            <v>60353</v>
          </cell>
          <cell r="AI76">
            <v>60552</v>
          </cell>
        </row>
        <row r="77">
          <cell r="A77">
            <v>74</v>
          </cell>
          <cell r="B77" t="str">
            <v>Volume (mcfs)</v>
          </cell>
          <cell r="C77"/>
          <cell r="D77">
            <v>12775442.954357544</v>
          </cell>
          <cell r="E77">
            <v>938417.95964902686</v>
          </cell>
          <cell r="F77">
            <v>905984.11598657409</v>
          </cell>
          <cell r="G77">
            <v>896395.73913431587</v>
          </cell>
          <cell r="H77">
            <v>816603.84522296581</v>
          </cell>
          <cell r="I77">
            <v>1158603.3150259138</v>
          </cell>
          <cell r="J77">
            <v>1135563.9932312428</v>
          </cell>
          <cell r="K77">
            <v>1112956.7061684872</v>
          </cell>
          <cell r="L77">
            <v>1095339.8787173056</v>
          </cell>
          <cell r="M77">
            <v>1101781.2209003596</v>
          </cell>
          <cell r="N77">
            <v>1133577.4743852043</v>
          </cell>
          <cell r="O77">
            <v>1197550.0865273057</v>
          </cell>
          <cell r="P77">
            <v>1282668.6194088443</v>
          </cell>
          <cell r="T77">
            <v>74</v>
          </cell>
          <cell r="U77" t="str">
            <v>Volume (mcfs)</v>
          </cell>
          <cell r="V77"/>
          <cell r="W77"/>
          <cell r="X77">
            <v>652762.68380562856</v>
          </cell>
          <cell r="Y77">
            <v>681727.52945759078</v>
          </cell>
          <cell r="Z77">
            <v>619825.39682539681</v>
          </cell>
          <cell r="AA77">
            <v>675862.10926088225</v>
          </cell>
          <cell r="AB77">
            <v>599567.92287467129</v>
          </cell>
          <cell r="AC77">
            <v>564067.48466257669</v>
          </cell>
          <cell r="AD77">
            <v>537727.23731619434</v>
          </cell>
          <cell r="AE77">
            <v>534283.18239361187</v>
          </cell>
          <cell r="AF77">
            <v>523643.87963774469</v>
          </cell>
          <cell r="AG77">
            <v>552590.02824033494</v>
          </cell>
          <cell r="AH77">
            <v>613500.63297302555</v>
          </cell>
          <cell r="AI77">
            <v>714888.49936702696</v>
          </cell>
        </row>
        <row r="78">
          <cell r="A78">
            <v>75</v>
          </cell>
          <cell r="B78" t="str">
            <v>Volume (dts) (mcfs*1.0269)</v>
          </cell>
          <cell r="C78"/>
          <cell r="D78">
            <v>13119102</v>
          </cell>
          <cell r="E78">
            <v>963661</v>
          </cell>
          <cell r="F78">
            <v>930355</v>
          </cell>
          <cell r="G78">
            <v>920509</v>
          </cell>
          <cell r="H78">
            <v>838570</v>
          </cell>
          <cell r="I78">
            <v>1189770</v>
          </cell>
          <cell r="J78">
            <v>1166111</v>
          </cell>
          <cell r="K78">
            <v>1142895</v>
          </cell>
          <cell r="L78">
            <v>1124805</v>
          </cell>
          <cell r="M78">
            <v>1131419</v>
          </cell>
          <cell r="N78">
            <v>1164071</v>
          </cell>
          <cell r="O78">
            <v>1229764</v>
          </cell>
          <cell r="P78">
            <v>1317172</v>
          </cell>
          <cell r="T78">
            <v>75</v>
          </cell>
          <cell r="U78" t="str">
            <v>Volume (dts) (mcfs*1.0269)</v>
          </cell>
          <cell r="V78"/>
          <cell r="W78"/>
          <cell r="X78">
            <v>670322</v>
          </cell>
          <cell r="Y78">
            <v>700066</v>
          </cell>
          <cell r="Z78">
            <v>636499</v>
          </cell>
          <cell r="AA78">
            <v>694043</v>
          </cell>
          <cell r="AB78">
            <v>615696</v>
          </cell>
          <cell r="AC78">
            <v>579241</v>
          </cell>
          <cell r="AD78">
            <v>552192</v>
          </cell>
          <cell r="AE78">
            <v>548655</v>
          </cell>
          <cell r="AF78">
            <v>537730</v>
          </cell>
          <cell r="AG78">
            <v>567455</v>
          </cell>
          <cell r="AH78">
            <v>630004</v>
          </cell>
          <cell r="AI78">
            <v>734119</v>
          </cell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A80">
            <v>77</v>
          </cell>
          <cell r="B80" t="str">
            <v>Volume - 2018 -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- 2017 - actual in Dts (mcfs*1.0269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1393785</v>
          </cell>
          <cell r="E81">
            <v>222590</v>
          </cell>
          <cell r="F81">
            <v>157061</v>
          </cell>
          <cell r="G81">
            <v>143411</v>
          </cell>
          <cell r="H81">
            <v>139659</v>
          </cell>
          <cell r="I81">
            <v>100939</v>
          </cell>
          <cell r="J81">
            <v>88686</v>
          </cell>
          <cell r="K81">
            <v>71601</v>
          </cell>
          <cell r="L81">
            <v>68167</v>
          </cell>
          <cell r="M81">
            <v>74445</v>
          </cell>
          <cell r="N81">
            <v>68583</v>
          </cell>
          <cell r="O81">
            <v>101883</v>
          </cell>
          <cell r="P81">
            <v>156760</v>
          </cell>
          <cell r="T81">
            <v>78</v>
          </cell>
          <cell r="U81" t="str">
            <v>Residential</v>
          </cell>
          <cell r="W81">
            <v>1350413</v>
          </cell>
          <cell r="X81">
            <v>173562</v>
          </cell>
          <cell r="Y81">
            <v>151263</v>
          </cell>
          <cell r="Z81">
            <v>145986</v>
          </cell>
          <cell r="AA81">
            <v>132442</v>
          </cell>
          <cell r="AB81">
            <v>91723</v>
          </cell>
          <cell r="AC81">
            <v>80504</v>
          </cell>
          <cell r="AD81">
            <v>70483</v>
          </cell>
          <cell r="AE81">
            <v>63306</v>
          </cell>
          <cell r="AF81">
            <v>113329</v>
          </cell>
          <cell r="AG81">
            <v>77979</v>
          </cell>
          <cell r="AH81">
            <v>104021</v>
          </cell>
          <cell r="AI81">
            <v>145815</v>
          </cell>
        </row>
        <row r="82">
          <cell r="A82">
            <v>79</v>
          </cell>
          <cell r="B82" t="str">
            <v>Commercial</v>
          </cell>
          <cell r="D82">
            <v>1722081</v>
          </cell>
          <cell r="E82">
            <v>196134</v>
          </cell>
          <cell r="F82">
            <v>178291</v>
          </cell>
          <cell r="G82">
            <v>161119</v>
          </cell>
          <cell r="H82">
            <v>161740</v>
          </cell>
          <cell r="I82">
            <v>138404</v>
          </cell>
          <cell r="J82">
            <v>132048</v>
          </cell>
          <cell r="K82">
            <v>110867</v>
          </cell>
          <cell r="L82">
            <v>112674</v>
          </cell>
          <cell r="M82">
            <v>113550</v>
          </cell>
          <cell r="N82">
            <v>105972</v>
          </cell>
          <cell r="O82">
            <v>141433</v>
          </cell>
          <cell r="P82">
            <v>169849</v>
          </cell>
          <cell r="T82">
            <v>79</v>
          </cell>
          <cell r="U82" t="str">
            <v>Commercial</v>
          </cell>
          <cell r="W82">
            <v>1863147</v>
          </cell>
          <cell r="X82">
            <v>209174</v>
          </cell>
          <cell r="Y82">
            <v>195020</v>
          </cell>
          <cell r="Z82">
            <v>197009</v>
          </cell>
          <cell r="AA82">
            <v>178496</v>
          </cell>
          <cell r="AB82">
            <v>142126</v>
          </cell>
          <cell r="AC82">
            <v>138732</v>
          </cell>
          <cell r="AD82">
            <v>127500</v>
          </cell>
          <cell r="AE82">
            <v>117478</v>
          </cell>
          <cell r="AF82">
            <v>121340</v>
          </cell>
          <cell r="AG82">
            <v>119674</v>
          </cell>
          <cell r="AH82">
            <v>147319</v>
          </cell>
          <cell r="AI82">
            <v>169279</v>
          </cell>
        </row>
        <row r="83">
          <cell r="A83">
            <v>80</v>
          </cell>
          <cell r="B83" t="str">
            <v xml:space="preserve">Industrial </v>
          </cell>
          <cell r="D83">
            <v>4900998</v>
          </cell>
          <cell r="E83">
            <v>460431</v>
          </cell>
          <cell r="F83">
            <v>419567</v>
          </cell>
          <cell r="G83">
            <v>424532</v>
          </cell>
          <cell r="H83">
            <v>432680</v>
          </cell>
          <cell r="I83">
            <v>410929</v>
          </cell>
          <cell r="J83">
            <v>402341</v>
          </cell>
          <cell r="K83">
            <v>377048</v>
          </cell>
          <cell r="L83">
            <v>378314</v>
          </cell>
          <cell r="M83">
            <v>374937</v>
          </cell>
          <cell r="N83">
            <v>376320</v>
          </cell>
          <cell r="O83">
            <v>408606</v>
          </cell>
          <cell r="P83">
            <v>435293</v>
          </cell>
          <cell r="T83">
            <v>80</v>
          </cell>
          <cell r="U83" t="str">
            <v xml:space="preserve">Industrial </v>
          </cell>
          <cell r="W83">
            <v>4543775</v>
          </cell>
          <cell r="X83">
            <v>411557</v>
          </cell>
          <cell r="Y83">
            <v>375690</v>
          </cell>
          <cell r="Z83">
            <v>402016</v>
          </cell>
          <cell r="AA83">
            <v>374438</v>
          </cell>
          <cell r="AB83">
            <v>365612</v>
          </cell>
          <cell r="AC83">
            <v>360380</v>
          </cell>
          <cell r="AD83">
            <v>386016</v>
          </cell>
          <cell r="AE83">
            <v>369921</v>
          </cell>
          <cell r="AF83">
            <v>326764</v>
          </cell>
          <cell r="AG83">
            <v>378417</v>
          </cell>
          <cell r="AH83">
            <v>376220</v>
          </cell>
          <cell r="AI83">
            <v>416744</v>
          </cell>
        </row>
        <row r="84">
          <cell r="A84">
            <v>81</v>
          </cell>
          <cell r="B84" t="str">
            <v>Other</v>
          </cell>
          <cell r="D84">
            <v>2338815</v>
          </cell>
          <cell r="E84">
            <v>199975</v>
          </cell>
          <cell r="F84">
            <v>104390</v>
          </cell>
          <cell r="G84">
            <v>216142</v>
          </cell>
          <cell r="H84">
            <v>170064</v>
          </cell>
          <cell r="I84">
            <v>169563</v>
          </cell>
          <cell r="J84">
            <v>124513</v>
          </cell>
          <cell r="K84">
            <v>131966</v>
          </cell>
          <cell r="L84">
            <v>158526</v>
          </cell>
          <cell r="M84">
            <v>144484</v>
          </cell>
          <cell r="N84">
            <v>218496</v>
          </cell>
          <cell r="O84">
            <v>209363</v>
          </cell>
          <cell r="P84">
            <v>491333</v>
          </cell>
          <cell r="T84">
            <v>81</v>
          </cell>
          <cell r="U84" t="str">
            <v>Other</v>
          </cell>
          <cell r="W84">
            <v>1875761</v>
          </cell>
          <cell r="X84">
            <v>167819</v>
          </cell>
          <cell r="Y84">
            <v>147169</v>
          </cell>
          <cell r="Z84">
            <v>172922</v>
          </cell>
          <cell r="AA84">
            <v>144203</v>
          </cell>
          <cell r="AB84">
            <v>166740</v>
          </cell>
          <cell r="AC84">
            <v>148258</v>
          </cell>
          <cell r="AD84">
            <v>93966</v>
          </cell>
          <cell r="AE84">
            <v>123772</v>
          </cell>
          <cell r="AF84">
            <v>117144</v>
          </cell>
          <cell r="AG84">
            <v>188872</v>
          </cell>
          <cell r="AH84">
            <v>198975</v>
          </cell>
          <cell r="AI84">
            <v>205921</v>
          </cell>
        </row>
        <row r="85">
          <cell r="A85">
            <v>82</v>
          </cell>
          <cell r="B85" t="str">
            <v>Total Deliveries</v>
          </cell>
          <cell r="C85"/>
          <cell r="D85">
            <v>10355679</v>
          </cell>
          <cell r="E85">
            <v>1079130</v>
          </cell>
          <cell r="F85">
            <v>859309</v>
          </cell>
          <cell r="G85">
            <v>945204</v>
          </cell>
          <cell r="H85">
            <v>904143</v>
          </cell>
          <cell r="I85">
            <v>819835</v>
          </cell>
          <cell r="J85">
            <v>747588</v>
          </cell>
          <cell r="K85">
            <v>691482</v>
          </cell>
          <cell r="L85">
            <v>717681</v>
          </cell>
          <cell r="M85">
            <v>707416</v>
          </cell>
          <cell r="N85">
            <v>769371</v>
          </cell>
          <cell r="O85">
            <v>861285</v>
          </cell>
          <cell r="P85">
            <v>1253235</v>
          </cell>
          <cell r="T85">
            <v>82</v>
          </cell>
          <cell r="U85" t="str">
            <v>Total Deliveries</v>
          </cell>
          <cell r="V85"/>
          <cell r="W85">
            <v>9633096</v>
          </cell>
          <cell r="X85">
            <v>962112</v>
          </cell>
          <cell r="Y85">
            <v>869142</v>
          </cell>
          <cell r="Z85">
            <v>917933</v>
          </cell>
          <cell r="AA85">
            <v>829579</v>
          </cell>
          <cell r="AB85">
            <v>766201</v>
          </cell>
          <cell r="AC85">
            <v>727874</v>
          </cell>
          <cell r="AD85">
            <v>677965</v>
          </cell>
          <cell r="AE85">
            <v>674477</v>
          </cell>
          <cell r="AF85">
            <v>678577</v>
          </cell>
          <cell r="AG85">
            <v>764942</v>
          </cell>
          <cell r="AH85">
            <v>826535</v>
          </cell>
          <cell r="AI85">
            <v>937759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X86"/>
          <cell r="Y86"/>
          <cell r="Z86"/>
          <cell r="AA86"/>
          <cell r="AB86"/>
          <cell r="AC86"/>
          <cell r="AD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X87"/>
          <cell r="Y87"/>
          <cell r="Z87"/>
          <cell r="AA87"/>
          <cell r="AB87"/>
          <cell r="AC87"/>
          <cell r="AD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  <cell r="X88"/>
          <cell r="Y88"/>
          <cell r="Z88"/>
          <cell r="AA88"/>
          <cell r="AB88"/>
          <cell r="AC88"/>
          <cell r="AD88"/>
        </row>
        <row r="89">
          <cell r="A89">
            <v>86</v>
          </cell>
          <cell r="B89" t="str">
            <v>Customers- YTD average cumulative - 2018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- 2017</v>
          </cell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55186</v>
          </cell>
          <cell r="F91">
            <v>55190</v>
          </cell>
          <cell r="G91">
            <v>55280</v>
          </cell>
          <cell r="H91">
            <v>55343</v>
          </cell>
          <cell r="I91">
            <v>55379</v>
          </cell>
          <cell r="J91">
            <v>55430</v>
          </cell>
          <cell r="K91">
            <v>55459</v>
          </cell>
          <cell r="L91">
            <v>55500</v>
          </cell>
          <cell r="M91">
            <v>55541</v>
          </cell>
          <cell r="N91">
            <v>55577</v>
          </cell>
          <cell r="O91">
            <v>55636</v>
          </cell>
          <cell r="P91">
            <v>55701</v>
          </cell>
          <cell r="T91">
            <v>88</v>
          </cell>
          <cell r="U91" t="str">
            <v>Residential</v>
          </cell>
          <cell r="V91"/>
          <cell r="W91"/>
          <cell r="X91">
            <v>53892</v>
          </cell>
          <cell r="Y91">
            <v>53949</v>
          </cell>
          <cell r="Z91">
            <v>54041</v>
          </cell>
          <cell r="AA91">
            <v>54133</v>
          </cell>
          <cell r="AB91">
            <v>54182</v>
          </cell>
          <cell r="AC91">
            <v>54196</v>
          </cell>
          <cell r="AD91">
            <v>54230</v>
          </cell>
          <cell r="AE91">
            <v>54272</v>
          </cell>
          <cell r="AF91">
            <v>54312</v>
          </cell>
          <cell r="AG91">
            <v>54338</v>
          </cell>
          <cell r="AH91">
            <v>54365</v>
          </cell>
          <cell r="AI91">
            <v>54410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3934</v>
          </cell>
          <cell r="F92">
            <v>3927</v>
          </cell>
          <cell r="G92">
            <v>3927</v>
          </cell>
          <cell r="H92">
            <v>3931</v>
          </cell>
          <cell r="I92">
            <v>3931</v>
          </cell>
          <cell r="J92">
            <v>3928</v>
          </cell>
          <cell r="K92">
            <v>3924</v>
          </cell>
          <cell r="L92">
            <v>3923</v>
          </cell>
          <cell r="M92">
            <v>3923</v>
          </cell>
          <cell r="N92">
            <v>3919</v>
          </cell>
          <cell r="O92">
            <v>3918</v>
          </cell>
          <cell r="P92">
            <v>3915</v>
          </cell>
          <cell r="T92">
            <v>89</v>
          </cell>
          <cell r="U92" t="str">
            <v>Commercial</v>
          </cell>
          <cell r="V92"/>
          <cell r="W92"/>
          <cell r="X92">
            <v>4186</v>
          </cell>
          <cell r="Y92">
            <v>4185</v>
          </cell>
          <cell r="Z92">
            <v>4173</v>
          </cell>
          <cell r="AA92">
            <v>4160</v>
          </cell>
          <cell r="AB92">
            <v>4141</v>
          </cell>
          <cell r="AC92">
            <v>4123</v>
          </cell>
          <cell r="AD92">
            <v>4111</v>
          </cell>
          <cell r="AE92">
            <v>4098</v>
          </cell>
          <cell r="AF92">
            <v>4084</v>
          </cell>
          <cell r="AG92">
            <v>4072</v>
          </cell>
          <cell r="AH92">
            <v>4062</v>
          </cell>
          <cell r="AI92">
            <v>4054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2233</v>
          </cell>
          <cell r="F93">
            <v>2242</v>
          </cell>
          <cell r="G93">
            <v>2251</v>
          </cell>
          <cell r="H93">
            <v>2258</v>
          </cell>
          <cell r="I93">
            <v>2262</v>
          </cell>
          <cell r="J93">
            <v>2269</v>
          </cell>
          <cell r="K93">
            <v>2275</v>
          </cell>
          <cell r="L93">
            <v>2280</v>
          </cell>
          <cell r="M93">
            <v>2289</v>
          </cell>
          <cell r="N93">
            <v>2296</v>
          </cell>
          <cell r="O93">
            <v>2303</v>
          </cell>
          <cell r="P93">
            <v>2312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1898</v>
          </cell>
          <cell r="Y93">
            <v>1918</v>
          </cell>
          <cell r="Z93">
            <v>1938</v>
          </cell>
          <cell r="AA93">
            <v>1961</v>
          </cell>
          <cell r="AB93">
            <v>1980</v>
          </cell>
          <cell r="AC93">
            <v>1997</v>
          </cell>
          <cell r="AD93">
            <v>2012</v>
          </cell>
          <cell r="AE93">
            <v>2027</v>
          </cell>
          <cell r="AF93">
            <v>2042</v>
          </cell>
          <cell r="AG93">
            <v>2055</v>
          </cell>
          <cell r="AH93">
            <v>2066</v>
          </cell>
          <cell r="AI93">
            <v>2078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11</v>
          </cell>
          <cell r="K94">
            <v>11</v>
          </cell>
          <cell r="L94">
            <v>11</v>
          </cell>
          <cell r="M94">
            <v>11</v>
          </cell>
          <cell r="N94">
            <v>11</v>
          </cell>
          <cell r="O94">
            <v>11</v>
          </cell>
          <cell r="P94">
            <v>11</v>
          </cell>
          <cell r="T94">
            <v>91</v>
          </cell>
          <cell r="U94" t="str">
            <v>Other</v>
          </cell>
          <cell r="V94"/>
          <cell r="W94"/>
          <cell r="X94">
            <v>10</v>
          </cell>
          <cell r="Y94">
            <v>10</v>
          </cell>
          <cell r="Z94">
            <v>10</v>
          </cell>
          <cell r="AA94">
            <v>10</v>
          </cell>
          <cell r="AB94">
            <v>10</v>
          </cell>
          <cell r="AC94">
            <v>10</v>
          </cell>
          <cell r="AD94">
            <v>10</v>
          </cell>
          <cell r="AE94">
            <v>10</v>
          </cell>
          <cell r="AF94">
            <v>10</v>
          </cell>
          <cell r="AG94">
            <v>10</v>
          </cell>
          <cell r="AH94">
            <v>10</v>
          </cell>
          <cell r="AI94">
            <v>10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61363</v>
          </cell>
          <cell r="F95">
            <v>61369</v>
          </cell>
          <cell r="G95">
            <v>61468</v>
          </cell>
          <cell r="H95">
            <v>61542</v>
          </cell>
          <cell r="I95">
            <v>61582</v>
          </cell>
          <cell r="J95">
            <v>61638</v>
          </cell>
          <cell r="K95">
            <v>61669</v>
          </cell>
          <cell r="L95">
            <v>61714</v>
          </cell>
          <cell r="M95">
            <v>61764</v>
          </cell>
          <cell r="N95">
            <v>61803</v>
          </cell>
          <cell r="O95">
            <v>61868</v>
          </cell>
          <cell r="P95">
            <v>61939</v>
          </cell>
          <cell r="T95">
            <v>92</v>
          </cell>
          <cell r="U95" t="str">
            <v>Total customers</v>
          </cell>
          <cell r="V95"/>
          <cell r="W95"/>
          <cell r="X95">
            <v>59986</v>
          </cell>
          <cell r="Y95">
            <v>60062</v>
          </cell>
          <cell r="Z95">
            <v>60162</v>
          </cell>
          <cell r="AA95">
            <v>60264</v>
          </cell>
          <cell r="AB95">
            <v>60313</v>
          </cell>
          <cell r="AC95">
            <v>60326</v>
          </cell>
          <cell r="AD95">
            <v>60363</v>
          </cell>
          <cell r="AE95">
            <v>60407</v>
          </cell>
          <cell r="AF95">
            <v>60448</v>
          </cell>
          <cell r="AG95">
            <v>60475</v>
          </cell>
          <cell r="AH95">
            <v>60503</v>
          </cell>
          <cell r="AI95">
            <v>60552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79924</v>
          </cell>
          <cell r="T97">
            <v>94</v>
          </cell>
        </row>
        <row r="98">
          <cell r="A98">
            <v>95</v>
          </cell>
          <cell r="B98" t="str">
            <v>Volume - 2018 -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- 2017 -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216758.88596747493</v>
          </cell>
          <cell r="F99">
            <v>369705.61885285808</v>
          </cell>
          <cell r="G99">
            <v>509359.91820040898</v>
          </cell>
          <cell r="H99">
            <v>645360.11296134</v>
          </cell>
          <cell r="I99">
            <v>743654.88363034383</v>
          </cell>
          <cell r="J99">
            <v>830018.11276657914</v>
          </cell>
          <cell r="K99">
            <v>899743.79199532582</v>
          </cell>
          <cell r="L99">
            <v>966125.13389814016</v>
          </cell>
          <cell r="M99">
            <v>1038619.5345213751</v>
          </cell>
          <cell r="N99">
            <v>1105406.3950598889</v>
          </cell>
          <cell r="O99">
            <v>1204620.5648914226</v>
          </cell>
          <cell r="P99">
            <v>1357274.1786804965</v>
          </cell>
          <cell r="T99">
            <v>96</v>
          </cell>
          <cell r="U99" t="str">
            <v>Residential</v>
          </cell>
          <cell r="W99"/>
          <cell r="X99">
            <v>169015.09397214919</v>
          </cell>
          <cell r="Y99">
            <v>316315.51270815078</v>
          </cell>
          <cell r="Z99">
            <v>458477.65118317271</v>
          </cell>
          <cell r="AA99">
            <v>587449.8977505113</v>
          </cell>
          <cell r="AB99">
            <v>676770.27948193601</v>
          </cell>
          <cell r="AC99">
            <v>755165.74155224464</v>
          </cell>
          <cell r="AD99">
            <v>823802.80455740588</v>
          </cell>
          <cell r="AE99">
            <v>885450.77417470061</v>
          </cell>
          <cell r="AF99">
            <v>995811.17927743704</v>
          </cell>
          <cell r="AG99">
            <v>1071747.2003116177</v>
          </cell>
          <cell r="AH99">
            <v>1173043.723829</v>
          </cell>
          <cell r="AI99">
            <v>1315039.3417080536</v>
          </cell>
        </row>
        <row r="100">
          <cell r="A100">
            <v>97</v>
          </cell>
          <cell r="B100" t="str">
            <v>Commercial</v>
          </cell>
          <cell r="D100"/>
          <cell r="E100">
            <v>190995.81263998442</v>
          </cell>
          <cell r="F100">
            <v>364615.93144415226</v>
          </cell>
          <cell r="G100">
            <v>521513.97409679613</v>
          </cell>
          <cell r="H100">
            <v>679016.94420099317</v>
          </cell>
          <cell r="I100">
            <v>813795.50102249475</v>
          </cell>
          <cell r="J100">
            <v>942384.45807770942</v>
          </cell>
          <cell r="K100">
            <v>1050346.7718375693</v>
          </cell>
          <cell r="L100">
            <v>1160068.8479890933</v>
          </cell>
          <cell r="M100">
            <v>1270644.1717791411</v>
          </cell>
          <cell r="N100">
            <v>1373839.8328503261</v>
          </cell>
          <cell r="O100">
            <v>1511567.5930996202</v>
          </cell>
          <cell r="P100">
            <v>1676967.2903437531</v>
          </cell>
          <cell r="T100">
            <v>97</v>
          </cell>
          <cell r="U100" t="str">
            <v>Commercial</v>
          </cell>
          <cell r="W100"/>
          <cell r="X100">
            <v>203694.61486025903</v>
          </cell>
          <cell r="Y100">
            <v>393605.99863667344</v>
          </cell>
          <cell r="Z100">
            <v>585454.3772519232</v>
          </cell>
          <cell r="AA100">
            <v>759274.41815171868</v>
          </cell>
          <cell r="AB100">
            <v>897677.57327880012</v>
          </cell>
          <cell r="AC100">
            <v>1032774.9537442788</v>
          </cell>
          <cell r="AD100">
            <v>1156935.4367513875</v>
          </cell>
          <cell r="AE100">
            <v>1271336.157366832</v>
          </cell>
          <cell r="AF100">
            <v>1389497.2246567337</v>
          </cell>
          <cell r="AG100">
            <v>1506035.9333917615</v>
          </cell>
          <cell r="AH100">
            <v>1649496.0560911479</v>
          </cell>
          <cell r="AI100">
            <v>1814340.9290096406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448369.94838835328</v>
          </cell>
          <cell r="F101">
            <v>856946.1486025902</v>
          </cell>
          <cell r="G101">
            <v>1270357.1915473754</v>
          </cell>
          <cell r="H101">
            <v>1691703.2817216865</v>
          </cell>
          <cell r="I101">
            <v>2091867.7573278798</v>
          </cell>
          <cell r="J101">
            <v>2483669.003797838</v>
          </cell>
          <cell r="K101">
            <v>2850839.6143733566</v>
          </cell>
          <cell r="L101">
            <v>3219243.0616418347</v>
          </cell>
          <cell r="M101">
            <v>3584358.4574934267</v>
          </cell>
          <cell r="N101">
            <v>3950820.8574934267</v>
          </cell>
          <cell r="O101">
            <v>4348723.4965040414</v>
          </cell>
          <cell r="P101">
            <v>4772613.4965040414</v>
          </cell>
          <cell r="T101">
            <v>98</v>
          </cell>
          <cell r="U101" t="str">
            <v xml:space="preserve">Industrial </v>
          </cell>
          <cell r="W101"/>
          <cell r="X101">
            <v>400776.21969033009</v>
          </cell>
          <cell r="Y101">
            <v>766624.89044697629</v>
          </cell>
          <cell r="Z101">
            <v>1158109.6504041289</v>
          </cell>
          <cell r="AA101">
            <v>1522739.1177329826</v>
          </cell>
          <cell r="AB101">
            <v>1878773.4930372965</v>
          </cell>
          <cell r="AC101">
            <v>2229713.4092900963</v>
          </cell>
          <cell r="AD101">
            <v>2605617.9764339272</v>
          </cell>
          <cell r="AE101">
            <v>2965848.670756646</v>
          </cell>
          <cell r="AF101">
            <v>3284052.8775927546</v>
          </cell>
          <cell r="AG101">
            <v>3652556.8215016066</v>
          </cell>
          <cell r="AH101">
            <v>4018921.9982471513</v>
          </cell>
          <cell r="AI101">
            <v>4424749.3426818578</v>
          </cell>
        </row>
        <row r="102">
          <cell r="A102">
            <v>99</v>
          </cell>
          <cell r="B102" t="str">
            <v>Other</v>
          </cell>
          <cell r="D102"/>
          <cell r="E102">
            <v>194736.14383094752</v>
          </cell>
          <cell r="F102">
            <v>296391.47054240922</v>
          </cell>
          <cell r="G102">
            <v>506871.36147628789</v>
          </cell>
          <cell r="H102">
            <v>672480.37890739122</v>
          </cell>
          <cell r="I102">
            <v>837601.52020644664</v>
          </cell>
          <cell r="J102">
            <v>958852.96903301205</v>
          </cell>
          <cell r="K102">
            <v>1087361.7470055507</v>
          </cell>
          <cell r="L102">
            <v>1241734.9260882267</v>
          </cell>
          <cell r="M102">
            <v>1382433.8773006136</v>
          </cell>
          <cell r="N102">
            <v>1595206.1344678157</v>
          </cell>
          <cell r="O102">
            <v>1799085.1704012076</v>
          </cell>
          <cell r="P102">
            <v>2277547.9507108778</v>
          </cell>
          <cell r="T102">
            <v>99</v>
          </cell>
          <cell r="U102" t="str">
            <v>Other</v>
          </cell>
          <cell r="W102"/>
          <cell r="X102">
            <v>163423.28269549127</v>
          </cell>
          <cell r="Y102">
            <v>306736.95588664914</v>
          </cell>
          <cell r="Z102">
            <v>475129.57834258449</v>
          </cell>
          <cell r="AA102">
            <v>615555.35193300224</v>
          </cell>
          <cell r="AB102">
            <v>777927.53422923363</v>
          </cell>
          <cell r="AC102">
            <v>922302.2007011394</v>
          </cell>
          <cell r="AD102">
            <v>1013806.6002531892</v>
          </cell>
          <cell r="AE102">
            <v>1134336.5544843704</v>
          </cell>
          <cell r="AF102">
            <v>1248412.1027363911</v>
          </cell>
          <cell r="AG102">
            <v>1432336.0550199631</v>
          </cell>
          <cell r="AH102">
            <v>1626098.8822670174</v>
          </cell>
          <cell r="AI102">
            <v>1826625.8100107121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1050860.7908267602</v>
          </cell>
          <cell r="F103">
            <v>1887659.1694420099</v>
          </cell>
          <cell r="G103">
            <v>2808102.4453208684</v>
          </cell>
          <cell r="H103">
            <v>3688560.7177914111</v>
          </cell>
          <cell r="I103">
            <v>4486919.6621871646</v>
          </cell>
          <cell r="J103">
            <v>5214924.5436751386</v>
          </cell>
          <cell r="K103">
            <v>5888291.9252118021</v>
          </cell>
          <cell r="L103">
            <v>6587171.9696172951</v>
          </cell>
          <cell r="M103">
            <v>7276056.0410945565</v>
          </cell>
          <cell r="N103">
            <v>8025273.2198714577</v>
          </cell>
          <cell r="O103">
            <v>8863996.8248962928</v>
          </cell>
          <cell r="P103">
            <v>10084402.916239168</v>
          </cell>
          <cell r="T103">
            <v>100</v>
          </cell>
          <cell r="U103" t="str">
            <v>Total Deliveries</v>
          </cell>
          <cell r="V103"/>
          <cell r="W103"/>
          <cell r="X103">
            <v>936909.21121822949</v>
          </cell>
          <cell r="Y103">
            <v>1783283.3576784497</v>
          </cell>
          <cell r="Z103">
            <v>2677171.2571818093</v>
          </cell>
          <cell r="AA103">
            <v>3485018.785568215</v>
          </cell>
          <cell r="AB103">
            <v>4231148.8800272662</v>
          </cell>
          <cell r="AC103">
            <v>4939956.3052877598</v>
          </cell>
          <cell r="AD103">
            <v>5600162.8179959096</v>
          </cell>
          <cell r="AE103">
            <v>6256972.1567825489</v>
          </cell>
          <cell r="AF103">
            <v>6917773.3842633162</v>
          </cell>
          <cell r="AG103">
            <v>7662676.0102249496</v>
          </cell>
          <cell r="AH103">
            <v>8467560.6604343168</v>
          </cell>
          <cell r="AI103">
            <v>9380755.4234102648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- 2018 -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- 2017 -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222590</v>
          </cell>
          <cell r="F107">
            <v>379651</v>
          </cell>
          <cell r="G107">
            <v>523062</v>
          </cell>
          <cell r="H107">
            <v>662721</v>
          </cell>
          <cell r="I107">
            <v>763660</v>
          </cell>
          <cell r="J107">
            <v>852346</v>
          </cell>
          <cell r="K107">
            <v>923947</v>
          </cell>
          <cell r="L107">
            <v>992114</v>
          </cell>
          <cell r="M107">
            <v>1066559</v>
          </cell>
          <cell r="N107">
            <v>1135142</v>
          </cell>
          <cell r="O107">
            <v>1237025</v>
          </cell>
          <cell r="P107">
            <v>1393785</v>
          </cell>
          <cell r="T107">
            <v>104</v>
          </cell>
          <cell r="U107" t="str">
            <v>Residential</v>
          </cell>
          <cell r="X107">
            <v>173562</v>
          </cell>
          <cell r="Y107">
            <v>324825</v>
          </cell>
          <cell r="Z107">
            <v>470811</v>
          </cell>
          <cell r="AA107">
            <v>603253</v>
          </cell>
          <cell r="AB107">
            <v>694976</v>
          </cell>
          <cell r="AC107">
            <v>775480</v>
          </cell>
          <cell r="AD107">
            <v>845963</v>
          </cell>
          <cell r="AE107">
            <v>909269</v>
          </cell>
          <cell r="AF107">
            <v>1022598</v>
          </cell>
          <cell r="AG107">
            <v>1100577</v>
          </cell>
          <cell r="AH107">
            <v>1204598</v>
          </cell>
          <cell r="AI107">
            <v>1350413</v>
          </cell>
        </row>
        <row r="108">
          <cell r="A108">
            <v>105</v>
          </cell>
          <cell r="B108" t="str">
            <v>Commercial</v>
          </cell>
          <cell r="D108"/>
          <cell r="E108">
            <v>196134</v>
          </cell>
          <cell r="F108">
            <v>374425</v>
          </cell>
          <cell r="G108">
            <v>535544</v>
          </cell>
          <cell r="H108">
            <v>697284</v>
          </cell>
          <cell r="I108">
            <v>835688</v>
          </cell>
          <cell r="J108">
            <v>967736</v>
          </cell>
          <cell r="K108">
            <v>1078603</v>
          </cell>
          <cell r="L108">
            <v>1191277</v>
          </cell>
          <cell r="M108">
            <v>1304827</v>
          </cell>
          <cell r="N108">
            <v>1410799</v>
          </cell>
          <cell r="O108">
            <v>1552232</v>
          </cell>
          <cell r="P108">
            <v>1722081</v>
          </cell>
          <cell r="T108">
            <v>105</v>
          </cell>
          <cell r="U108" t="str">
            <v>Commercial</v>
          </cell>
          <cell r="X108">
            <v>209174</v>
          </cell>
          <cell r="Y108">
            <v>404194</v>
          </cell>
          <cell r="Z108">
            <v>601203</v>
          </cell>
          <cell r="AA108">
            <v>779699</v>
          </cell>
          <cell r="AB108">
            <v>921825</v>
          </cell>
          <cell r="AC108">
            <v>1060557</v>
          </cell>
          <cell r="AD108">
            <v>1188057</v>
          </cell>
          <cell r="AE108">
            <v>1305535</v>
          </cell>
          <cell r="AF108">
            <v>1426875</v>
          </cell>
          <cell r="AG108">
            <v>1546549</v>
          </cell>
          <cell r="AH108">
            <v>1693868</v>
          </cell>
          <cell r="AI108">
            <v>1863147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460431</v>
          </cell>
          <cell r="F109">
            <v>879998</v>
          </cell>
          <cell r="G109">
            <v>1304530</v>
          </cell>
          <cell r="H109">
            <v>1737210</v>
          </cell>
          <cell r="I109">
            <v>2148139</v>
          </cell>
          <cell r="J109">
            <v>2550480</v>
          </cell>
          <cell r="K109">
            <v>2927528</v>
          </cell>
          <cell r="L109">
            <v>3305842</v>
          </cell>
          <cell r="M109">
            <v>3680779</v>
          </cell>
          <cell r="N109">
            <v>4057099</v>
          </cell>
          <cell r="O109">
            <v>4465705</v>
          </cell>
          <cell r="P109">
            <v>4900998</v>
          </cell>
          <cell r="T109">
            <v>106</v>
          </cell>
          <cell r="U109" t="str">
            <v xml:space="preserve">Industrial </v>
          </cell>
          <cell r="W109"/>
          <cell r="X109">
            <v>411557</v>
          </cell>
          <cell r="Y109">
            <v>787247</v>
          </cell>
          <cell r="Z109">
            <v>1189263</v>
          </cell>
          <cell r="AA109">
            <v>1563701</v>
          </cell>
          <cell r="AB109">
            <v>1929313</v>
          </cell>
          <cell r="AC109">
            <v>2289693</v>
          </cell>
          <cell r="AD109">
            <v>2675709</v>
          </cell>
          <cell r="AE109">
            <v>3045630</v>
          </cell>
          <cell r="AF109">
            <v>3372394</v>
          </cell>
          <cell r="AG109">
            <v>3750811</v>
          </cell>
          <cell r="AH109">
            <v>4127031</v>
          </cell>
          <cell r="AI109">
            <v>4543775</v>
          </cell>
        </row>
        <row r="110">
          <cell r="A110">
            <v>107</v>
          </cell>
          <cell r="B110" t="str">
            <v>Other</v>
          </cell>
          <cell r="D110"/>
          <cell r="E110">
            <v>199975</v>
          </cell>
          <cell r="F110">
            <v>304365</v>
          </cell>
          <cell r="G110">
            <v>520507</v>
          </cell>
          <cell r="H110">
            <v>690571</v>
          </cell>
          <cell r="I110">
            <v>860134</v>
          </cell>
          <cell r="J110">
            <v>984647</v>
          </cell>
          <cell r="K110">
            <v>1116613</v>
          </cell>
          <cell r="L110">
            <v>1275139</v>
          </cell>
          <cell r="M110">
            <v>1419623</v>
          </cell>
          <cell r="N110">
            <v>1638119</v>
          </cell>
          <cell r="O110">
            <v>1847482</v>
          </cell>
          <cell r="P110">
            <v>2338815</v>
          </cell>
          <cell r="T110">
            <v>107</v>
          </cell>
          <cell r="U110" t="str">
            <v>Other</v>
          </cell>
          <cell r="W110"/>
          <cell r="X110">
            <v>167819</v>
          </cell>
          <cell r="Y110">
            <v>314988</v>
          </cell>
          <cell r="Z110">
            <v>487910</v>
          </cell>
          <cell r="AA110">
            <v>632113</v>
          </cell>
          <cell r="AB110">
            <v>798853</v>
          </cell>
          <cell r="AC110">
            <v>947111</v>
          </cell>
          <cell r="AD110">
            <v>1041077</v>
          </cell>
          <cell r="AE110">
            <v>1164849</v>
          </cell>
          <cell r="AF110">
            <v>1281993</v>
          </cell>
          <cell r="AG110">
            <v>1470865</v>
          </cell>
          <cell r="AH110">
            <v>1669840</v>
          </cell>
          <cell r="AI110">
            <v>1875761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1079130</v>
          </cell>
          <cell r="F111">
            <v>1938439</v>
          </cell>
          <cell r="G111">
            <v>2883643</v>
          </cell>
          <cell r="H111">
            <v>3787786</v>
          </cell>
          <cell r="I111">
            <v>4607621</v>
          </cell>
          <cell r="J111">
            <v>5355209</v>
          </cell>
          <cell r="K111">
            <v>6046691</v>
          </cell>
          <cell r="L111">
            <v>6764372</v>
          </cell>
          <cell r="M111">
            <v>7471788</v>
          </cell>
          <cell r="N111">
            <v>8241159</v>
          </cell>
          <cell r="O111">
            <v>9102444</v>
          </cell>
          <cell r="P111">
            <v>10355679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962112</v>
          </cell>
          <cell r="Y111">
            <v>1831254</v>
          </cell>
          <cell r="Z111">
            <v>2749187</v>
          </cell>
          <cell r="AA111">
            <v>3578766</v>
          </cell>
          <cell r="AB111">
            <v>4344967</v>
          </cell>
          <cell r="AC111">
            <v>5072841</v>
          </cell>
          <cell r="AD111">
            <v>5750806</v>
          </cell>
          <cell r="AE111">
            <v>6425283</v>
          </cell>
          <cell r="AF111">
            <v>7103860</v>
          </cell>
          <cell r="AG111">
            <v>7868802</v>
          </cell>
          <cell r="AH111">
            <v>8695337</v>
          </cell>
          <cell r="AI111">
            <v>9633096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V113"/>
          <cell r="W113"/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61186</v>
          </cell>
          <cell r="F114">
            <v>61250</v>
          </cell>
          <cell r="G114">
            <v>61356</v>
          </cell>
          <cell r="H114">
            <v>61449</v>
          </cell>
          <cell r="I114">
            <v>61492</v>
          </cell>
          <cell r="J114">
            <v>61528</v>
          </cell>
          <cell r="K114">
            <v>61565</v>
          </cell>
          <cell r="L114">
            <v>61601</v>
          </cell>
          <cell r="M114">
            <v>61637</v>
          </cell>
          <cell r="N114">
            <v>61672</v>
          </cell>
          <cell r="O114">
            <v>61723</v>
          </cell>
          <cell r="P114">
            <v>61779</v>
          </cell>
          <cell r="T114">
            <v>111</v>
          </cell>
          <cell r="U114" t="str">
            <v xml:space="preserve">Customers </v>
          </cell>
          <cell r="V114"/>
          <cell r="W114"/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938417.95964902686</v>
          </cell>
          <cell r="F115">
            <v>1844402.0756356008</v>
          </cell>
          <cell r="G115">
            <v>2740797.8147699167</v>
          </cell>
          <cell r="H115">
            <v>3557401.6599928825</v>
          </cell>
          <cell r="I115">
            <v>4716004.9750187965</v>
          </cell>
          <cell r="J115">
            <v>5851568.968250039</v>
          </cell>
          <cell r="K115">
            <v>6964525.6744185258</v>
          </cell>
          <cell r="L115">
            <v>8059865.5531358309</v>
          </cell>
          <cell r="M115">
            <v>9161646.7740361914</v>
          </cell>
          <cell r="N115">
            <v>10295224.248421395</v>
          </cell>
          <cell r="O115">
            <v>11492774.3349487</v>
          </cell>
          <cell r="P115">
            <v>12775442.954357544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963661</v>
          </cell>
          <cell r="F116">
            <v>1894016</v>
          </cell>
          <cell r="G116">
            <v>2814525</v>
          </cell>
          <cell r="H116">
            <v>3653095</v>
          </cell>
          <cell r="I116">
            <v>4842865</v>
          </cell>
          <cell r="J116">
            <v>6008976</v>
          </cell>
          <cell r="K116">
            <v>7151871</v>
          </cell>
          <cell r="L116">
            <v>8276676</v>
          </cell>
          <cell r="M116">
            <v>9408095</v>
          </cell>
          <cell r="N116">
            <v>10572166</v>
          </cell>
          <cell r="O116">
            <v>11801930</v>
          </cell>
          <cell r="P116">
            <v>13119102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17</v>
          </cell>
          <cell r="D7">
            <v>204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17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17</v>
          </cell>
          <cell r="W7">
            <v>207</v>
          </cell>
          <cell r="X7">
            <v>17</v>
          </cell>
          <cell r="Y7">
            <v>16</v>
          </cell>
          <cell r="Z7">
            <v>17</v>
          </cell>
          <cell r="AA7">
            <v>16</v>
          </cell>
          <cell r="AB7">
            <v>16</v>
          </cell>
          <cell r="AC7">
            <v>18</v>
          </cell>
          <cell r="AD7">
            <v>18</v>
          </cell>
          <cell r="AE7">
            <v>18</v>
          </cell>
          <cell r="AF7">
            <v>18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14</v>
          </cell>
          <cell r="D9">
            <v>168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14</v>
          </cell>
          <cell r="J9">
            <v>14</v>
          </cell>
          <cell r="K9">
            <v>14</v>
          </cell>
          <cell r="L9">
            <v>14</v>
          </cell>
          <cell r="M9">
            <v>14</v>
          </cell>
          <cell r="N9">
            <v>14</v>
          </cell>
          <cell r="O9">
            <v>14</v>
          </cell>
          <cell r="P9">
            <v>14</v>
          </cell>
          <cell r="T9">
            <v>6</v>
          </cell>
          <cell r="U9" t="str">
            <v>Total customers</v>
          </cell>
          <cell r="V9">
            <v>14</v>
          </cell>
          <cell r="W9">
            <v>171</v>
          </cell>
          <cell r="X9">
            <v>14</v>
          </cell>
          <cell r="Y9">
            <v>13</v>
          </cell>
          <cell r="Z9">
            <v>14</v>
          </cell>
          <cell r="AA9">
            <v>13</v>
          </cell>
          <cell r="AB9">
            <v>13</v>
          </cell>
          <cell r="AC9">
            <v>15</v>
          </cell>
          <cell r="AD9">
            <v>15</v>
          </cell>
          <cell r="AE9">
            <v>15</v>
          </cell>
          <cell r="AF9">
            <v>15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(2018)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- 2017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44922738.769770481</v>
          </cell>
          <cell r="E14">
            <v>5465304.3183368333</v>
          </cell>
          <cell r="F14">
            <v>4890390.4621680016</v>
          </cell>
          <cell r="G14">
            <v>5632944.0114044826</v>
          </cell>
          <cell r="H14">
            <v>3688914.9341855384</v>
          </cell>
          <cell r="I14">
            <v>2345492.2265879367</v>
          </cell>
          <cell r="J14">
            <v>2586656.9520618673</v>
          </cell>
          <cell r="K14">
            <v>2508861.3601833885</v>
          </cell>
          <cell r="L14">
            <v>3123365.0476098135</v>
          </cell>
          <cell r="M14">
            <v>2938916.7475621263</v>
          </cell>
          <cell r="N14">
            <v>3613227.2812916972</v>
          </cell>
          <cell r="O14">
            <v>4095561.5833313335</v>
          </cell>
          <cell r="P14">
            <v>4033103.8450474641</v>
          </cell>
          <cell r="T14">
            <v>11</v>
          </cell>
          <cell r="U14" t="str">
            <v>Transportation firm</v>
          </cell>
          <cell r="W14"/>
          <cell r="X14">
            <v>5122614</v>
          </cell>
          <cell r="Y14">
            <v>4447121</v>
          </cell>
          <cell r="Z14">
            <v>4925992</v>
          </cell>
          <cell r="AA14">
            <v>2823107</v>
          </cell>
          <cell r="AB14">
            <v>3886464</v>
          </cell>
          <cell r="AC14">
            <v>3825043</v>
          </cell>
          <cell r="AD14">
            <v>3904214</v>
          </cell>
          <cell r="AE14">
            <v>4010738</v>
          </cell>
          <cell r="AF14">
            <v>4091180</v>
          </cell>
          <cell r="AG14">
            <v>4085739</v>
          </cell>
          <cell r="AH14">
            <v>3880900</v>
          </cell>
          <cell r="AI14">
            <v>5293304</v>
          </cell>
        </row>
        <row r="15">
          <cell r="A15">
            <v>12</v>
          </cell>
          <cell r="B15" t="str">
            <v>Interruptible transportation</v>
          </cell>
          <cell r="D15">
            <v>854651.74693211238</v>
          </cell>
          <cell r="E15">
            <v>95131.63058844152</v>
          </cell>
          <cell r="F15">
            <v>47020.861617301176</v>
          </cell>
          <cell r="G15">
            <v>58065.785978677748</v>
          </cell>
          <cell r="H15">
            <v>78652.213445255635</v>
          </cell>
          <cell r="I15">
            <v>17881.101464341853</v>
          </cell>
          <cell r="J15">
            <v>22675.379213805445</v>
          </cell>
          <cell r="K15">
            <v>66708.954738368862</v>
          </cell>
          <cell r="L15">
            <v>191463.54458158178</v>
          </cell>
          <cell r="M15">
            <v>81746.537770042443</v>
          </cell>
          <cell r="N15">
            <v>77438.562491107863</v>
          </cell>
          <cell r="O15">
            <v>88896.036870784228</v>
          </cell>
          <cell r="P15">
            <v>28971.138172403877</v>
          </cell>
          <cell r="T15">
            <v>12</v>
          </cell>
          <cell r="U15" t="str">
            <v>Interruptible transporation</v>
          </cell>
          <cell r="W15"/>
          <cell r="X15">
            <v>142031</v>
          </cell>
          <cell r="Y15">
            <v>66447</v>
          </cell>
          <cell r="Z15">
            <v>25037</v>
          </cell>
          <cell r="AA15">
            <v>26041</v>
          </cell>
          <cell r="AB15">
            <v>72552</v>
          </cell>
          <cell r="AC15">
            <v>81262</v>
          </cell>
          <cell r="AD15">
            <v>90847</v>
          </cell>
          <cell r="AE15">
            <v>136911</v>
          </cell>
          <cell r="AF15">
            <v>465001</v>
          </cell>
          <cell r="AG15">
            <v>96565</v>
          </cell>
          <cell r="AH15">
            <v>49723</v>
          </cell>
          <cell r="AI15">
            <v>91903</v>
          </cell>
        </row>
        <row r="16">
          <cell r="A16">
            <v>13</v>
          </cell>
          <cell r="B16" t="str">
            <v>Less: ESNG to DE, MD &amp; SP</v>
          </cell>
          <cell r="D16">
            <v>-12616392.034001116</v>
          </cell>
          <cell r="E16">
            <v>-1934871.5320512578</v>
          </cell>
          <cell r="F16">
            <v>-1320279.365929212</v>
          </cell>
          <cell r="G16">
            <v>-1606246.2856127331</v>
          </cell>
          <cell r="H16">
            <v>-1043595.6064866855</v>
          </cell>
          <cell r="I16">
            <v>-633409.12861637969</v>
          </cell>
          <cell r="J16">
            <v>-585996.24419609725</v>
          </cell>
          <cell r="K16">
            <v>-570124.52976046968</v>
          </cell>
          <cell r="L16">
            <v>-587994.39760314173</v>
          </cell>
          <cell r="M16">
            <v>-610204.50755247672</v>
          </cell>
          <cell r="N16">
            <v>-857409.41548329045</v>
          </cell>
          <cell r="O16">
            <v>-1310609.4721428743</v>
          </cell>
          <cell r="P16">
            <v>-1555651.5485664974</v>
          </cell>
          <cell r="T16">
            <v>13</v>
          </cell>
          <cell r="U16" t="str">
            <v>Less: ESNG to DE, MD and SP</v>
          </cell>
          <cell r="W16"/>
          <cell r="X16">
            <v>-1569792</v>
          </cell>
          <cell r="Y16">
            <v>-1205900</v>
          </cell>
          <cell r="Z16">
            <v>-1391398</v>
          </cell>
          <cell r="AA16">
            <v>-720462</v>
          </cell>
          <cell r="AB16">
            <v>-662446</v>
          </cell>
          <cell r="AC16">
            <v>-554613</v>
          </cell>
          <cell r="AD16">
            <v>-516867</v>
          </cell>
          <cell r="AE16">
            <v>-580117</v>
          </cell>
          <cell r="AF16">
            <v>-612571</v>
          </cell>
          <cell r="AG16">
            <v>-721278</v>
          </cell>
          <cell r="AH16">
            <v>-1128586</v>
          </cell>
          <cell r="AI16">
            <v>-1709322</v>
          </cell>
        </row>
        <row r="17">
          <cell r="A17">
            <v>14</v>
          </cell>
          <cell r="B17" t="str">
            <v>Total Deliveries</v>
          </cell>
          <cell r="C17"/>
          <cell r="D17">
            <v>33160998.482701477</v>
          </cell>
          <cell r="E17">
            <v>3625564.4168740166</v>
          </cell>
          <cell r="F17">
            <v>3617131.9578560912</v>
          </cell>
          <cell r="G17">
            <v>4084763.5117704272</v>
          </cell>
          <cell r="H17">
            <v>2723971.5411441084</v>
          </cell>
          <cell r="I17">
            <v>1729964.199435899</v>
          </cell>
          <cell r="J17">
            <v>2023336.0870795753</v>
          </cell>
          <cell r="K17">
            <v>2005445.7851612875</v>
          </cell>
          <cell r="L17">
            <v>2726834.1945882537</v>
          </cell>
          <cell r="M17">
            <v>2410458.7777796923</v>
          </cell>
          <cell r="N17">
            <v>2833256.4282995146</v>
          </cell>
          <cell r="O17">
            <v>2873848.1480592433</v>
          </cell>
          <cell r="P17">
            <v>2506423.4346533706</v>
          </cell>
          <cell r="T17">
            <v>14</v>
          </cell>
          <cell r="U17" t="str">
            <v>Total Deliveries</v>
          </cell>
          <cell r="V17"/>
          <cell r="W17"/>
          <cell r="X17">
            <v>3694853</v>
          </cell>
          <cell r="Y17">
            <v>3307668</v>
          </cell>
          <cell r="Z17">
            <v>3559631</v>
          </cell>
          <cell r="AA17">
            <v>2128686</v>
          </cell>
          <cell r="AB17">
            <v>3296570</v>
          </cell>
          <cell r="AC17">
            <v>3351692</v>
          </cell>
          <cell r="AD17">
            <v>3478194</v>
          </cell>
          <cell r="AE17">
            <v>3567532</v>
          </cell>
          <cell r="AF17">
            <v>3943610</v>
          </cell>
          <cell r="AG17">
            <v>3461026</v>
          </cell>
          <cell r="AH17">
            <v>2802037</v>
          </cell>
          <cell r="AI17">
            <v>3675885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1.0497559999999999</v>
          </cell>
          <cell r="F20">
            <v>1.0459400000000001</v>
          </cell>
          <cell r="G20">
            <v>1.0466059999999999</v>
          </cell>
          <cell r="H20">
            <v>1.0426280000000001</v>
          </cell>
          <cell r="I20">
            <v>1.042721</v>
          </cell>
          <cell r="J20">
            <v>1.0458480000000001</v>
          </cell>
          <cell r="K20">
            <v>1.045212</v>
          </cell>
          <cell r="L20">
            <v>1.0416970000000001</v>
          </cell>
          <cell r="M20">
            <v>1.0445580000000001</v>
          </cell>
          <cell r="N20">
            <v>1.0402439999999999</v>
          </cell>
          <cell r="O20">
            <v>1.0414749999999999</v>
          </cell>
          <cell r="P20">
            <v>1.0428999999999999</v>
          </cell>
          <cell r="T20">
            <v>17</v>
          </cell>
          <cell r="X20">
            <v>1.05027</v>
          </cell>
          <cell r="Y20">
            <v>1.04891</v>
          </cell>
          <cell r="Z20">
            <v>1.04809</v>
          </cell>
          <cell r="AA20">
            <v>1.0459099999999999</v>
          </cell>
          <cell r="AB20">
            <v>1.0445599999999999</v>
          </cell>
          <cell r="AC20">
            <v>1.0474600000000001</v>
          </cell>
          <cell r="AD20">
            <v>1.04823</v>
          </cell>
          <cell r="AE20">
            <v>1.04386</v>
          </cell>
          <cell r="AF20">
            <v>1.04697</v>
          </cell>
          <cell r="AG20">
            <v>1.04914</v>
          </cell>
          <cell r="AH20">
            <v>1.0493600000000001</v>
          </cell>
          <cell r="AI20">
            <v>1.05077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46920822</v>
          </cell>
          <cell r="E22">
            <v>5737236</v>
          </cell>
          <cell r="F22">
            <v>5115055</v>
          </cell>
          <cell r="G22">
            <v>5895473</v>
          </cell>
          <cell r="H22">
            <v>3846166</v>
          </cell>
          <cell r="I22">
            <v>2445694</v>
          </cell>
          <cell r="J22">
            <v>2705250</v>
          </cell>
          <cell r="K22">
            <v>2622292</v>
          </cell>
          <cell r="L22">
            <v>3253600</v>
          </cell>
          <cell r="M22">
            <v>3069869</v>
          </cell>
          <cell r="N22">
            <v>3758638</v>
          </cell>
          <cell r="O22">
            <v>4265425</v>
          </cell>
          <cell r="P22">
            <v>4206124</v>
          </cell>
          <cell r="T22">
            <v>19</v>
          </cell>
          <cell r="U22" t="str">
            <v>Transportation firm</v>
          </cell>
          <cell r="W22"/>
          <cell r="X22">
            <v>5380127.8057800001</v>
          </cell>
          <cell r="Y22">
            <v>4664629.6881100005</v>
          </cell>
          <cell r="Z22">
            <v>5162882.9552799994</v>
          </cell>
          <cell r="AA22">
            <v>2952715.8423699997</v>
          </cell>
          <cell r="AB22">
            <v>4059644.8358399998</v>
          </cell>
          <cell r="AC22">
            <v>4006579.5407800004</v>
          </cell>
          <cell r="AD22">
            <v>4092514.2412200002</v>
          </cell>
          <cell r="AE22">
            <v>4186648.9686799999</v>
          </cell>
          <cell r="AF22">
            <v>4283342.7245999994</v>
          </cell>
          <cell r="AG22">
            <v>4286512.2144599995</v>
          </cell>
          <cell r="AH22">
            <v>4072461.2240000004</v>
          </cell>
          <cell r="AI22">
            <v>5562045.0440799994</v>
          </cell>
        </row>
        <row r="23">
          <cell r="A23">
            <v>20</v>
          </cell>
          <cell r="B23" t="str">
            <v>Interruptible transportation</v>
          </cell>
          <cell r="D23">
            <v>892096</v>
          </cell>
          <cell r="E23">
            <v>99865</v>
          </cell>
          <cell r="F23">
            <v>49181</v>
          </cell>
          <cell r="G23">
            <v>60772</v>
          </cell>
          <cell r="H23">
            <v>82005</v>
          </cell>
          <cell r="I23">
            <v>18645</v>
          </cell>
          <cell r="J23">
            <v>23715</v>
          </cell>
          <cell r="K23">
            <v>69725</v>
          </cell>
          <cell r="L23">
            <v>199447</v>
          </cell>
          <cell r="M23">
            <v>85389</v>
          </cell>
          <cell r="N23">
            <v>80555</v>
          </cell>
          <cell r="O23">
            <v>92583</v>
          </cell>
          <cell r="P23">
            <v>30214</v>
          </cell>
          <cell r="T23">
            <v>20</v>
          </cell>
          <cell r="U23" t="str">
            <v>Interruptible transportation</v>
          </cell>
          <cell r="W23"/>
          <cell r="X23">
            <v>149170.89837000001</v>
          </cell>
          <cell r="Y23">
            <v>69696.922770000005</v>
          </cell>
          <cell r="Z23">
            <v>26241.029329999998</v>
          </cell>
          <cell r="AA23">
            <v>27236.542309999997</v>
          </cell>
          <cell r="AB23">
            <v>75784.917119999998</v>
          </cell>
          <cell r="AC23">
            <v>85118.694520000005</v>
          </cell>
          <cell r="AD23">
            <v>95228.550810000001</v>
          </cell>
          <cell r="AE23">
            <v>142915.91646000001</v>
          </cell>
          <cell r="AF23">
            <v>486842.09696999996</v>
          </cell>
          <cell r="AG23">
            <v>101310.2041</v>
          </cell>
          <cell r="AH23">
            <v>52177.327280000005</v>
          </cell>
          <cell r="AI23">
            <v>96568.915309999997</v>
          </cell>
        </row>
        <row r="24">
          <cell r="A24">
            <v>21</v>
          </cell>
          <cell r="B24" t="str">
            <v>Less: ESNG to DE, MD &amp; SP</v>
          </cell>
          <cell r="D24">
            <v>-13179675</v>
          </cell>
          <cell r="E24">
            <v>-2031143</v>
          </cell>
          <cell r="F24">
            <v>-1380933</v>
          </cell>
          <cell r="G24">
            <v>-1681107</v>
          </cell>
          <cell r="H24">
            <v>-1088082</v>
          </cell>
          <cell r="I24">
            <v>-660469</v>
          </cell>
          <cell r="J24">
            <v>-612863</v>
          </cell>
          <cell r="K24">
            <v>-595901</v>
          </cell>
          <cell r="L24">
            <v>-612512</v>
          </cell>
          <cell r="M24">
            <v>-637394</v>
          </cell>
          <cell r="N24">
            <v>-891915</v>
          </cell>
          <cell r="O24">
            <v>-1364967</v>
          </cell>
          <cell r="P24">
            <v>-1622389</v>
          </cell>
          <cell r="T24">
            <v>21</v>
          </cell>
          <cell r="U24" t="str">
            <v>Less: ESNG to DE, MD and SP</v>
          </cell>
          <cell r="W24"/>
          <cell r="X24">
            <v>-1648705.4438400001</v>
          </cell>
          <cell r="Y24">
            <v>-1264880.5689999999</v>
          </cell>
          <cell r="Z24">
            <v>-1458310.3298199999</v>
          </cell>
          <cell r="AA24">
            <v>-753538.41041999997</v>
          </cell>
          <cell r="AB24">
            <v>-691964.59375999996</v>
          </cell>
          <cell r="AC24">
            <v>-580934.93298000004</v>
          </cell>
          <cell r="AD24">
            <v>-541795.49540999997</v>
          </cell>
          <cell r="AE24">
            <v>-605560.93162000005</v>
          </cell>
          <cell r="AF24">
            <v>-641343.45987000002</v>
          </cell>
          <cell r="AG24">
            <v>-756721.60092</v>
          </cell>
          <cell r="AH24">
            <v>-1184293.00496</v>
          </cell>
          <cell r="AI24">
            <v>-1796104.2779399999</v>
          </cell>
        </row>
        <row r="25">
          <cell r="A25">
            <v>22</v>
          </cell>
          <cell r="B25" t="str">
            <v>Total Deliveries</v>
          </cell>
          <cell r="C25"/>
          <cell r="D25">
            <v>34633243</v>
          </cell>
          <cell r="E25">
            <v>3805958</v>
          </cell>
          <cell r="F25">
            <v>3783303</v>
          </cell>
          <cell r="G25">
            <v>4275138</v>
          </cell>
          <cell r="H25">
            <v>2840089</v>
          </cell>
          <cell r="I25">
            <v>1803870</v>
          </cell>
          <cell r="J25">
            <v>2116102</v>
          </cell>
          <cell r="K25">
            <v>2096116</v>
          </cell>
          <cell r="L25">
            <v>2840535</v>
          </cell>
          <cell r="M25">
            <v>2517864</v>
          </cell>
          <cell r="N25">
            <v>2947278</v>
          </cell>
          <cell r="O25">
            <v>2993041</v>
          </cell>
          <cell r="P25">
            <v>2613949</v>
          </cell>
          <cell r="T25">
            <v>22</v>
          </cell>
          <cell r="U25" t="str">
            <v>Total Deliveries</v>
          </cell>
          <cell r="V25"/>
          <cell r="W25"/>
          <cell r="X25">
            <v>3880593.2603099998</v>
          </cell>
          <cell r="Y25">
            <v>3469446.0418800004</v>
          </cell>
          <cell r="Z25">
            <v>3730813.6547900001</v>
          </cell>
          <cell r="AA25">
            <v>2226413.9742599996</v>
          </cell>
          <cell r="AB25">
            <v>3443465.1591999996</v>
          </cell>
          <cell r="AC25">
            <v>3510763.3023200002</v>
          </cell>
          <cell r="AD25">
            <v>3645947.2966200002</v>
          </cell>
          <cell r="AE25">
            <v>3724003.95352</v>
          </cell>
          <cell r="AF25">
            <v>4128841.3616999998</v>
          </cell>
          <cell r="AG25">
            <v>3631100.8176399991</v>
          </cell>
          <cell r="AH25">
            <v>2940345.5463200002</v>
          </cell>
          <cell r="AI25">
            <v>3862509.6814499996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62190514.009661831</v>
          </cell>
          <cell r="E29">
            <v>5297319.8067632858</v>
          </cell>
          <cell r="F29">
            <v>4803471.4975845413</v>
          </cell>
          <cell r="G29">
            <v>6047312.0772946868</v>
          </cell>
          <cell r="H29">
            <v>4215509.1787439613</v>
          </cell>
          <cell r="I29">
            <v>5475304.3478260869</v>
          </cell>
          <cell r="J29">
            <v>4696476.3285024157</v>
          </cell>
          <cell r="K29">
            <v>5151584.5410628021</v>
          </cell>
          <cell r="L29">
            <v>5452658.937198068</v>
          </cell>
          <cell r="M29">
            <v>5025822.2222222229</v>
          </cell>
          <cell r="N29">
            <v>5223084.0579710146</v>
          </cell>
          <cell r="O29">
            <v>4664700.4830917874</v>
          </cell>
          <cell r="P29">
            <v>6137270.5314009665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-12414835.748792272</v>
          </cell>
          <cell r="E30">
            <v>-1674839.6135265701</v>
          </cell>
          <cell r="F30">
            <v>-1301466.6666666667</v>
          </cell>
          <cell r="G30">
            <v>-1494527.5362318843</v>
          </cell>
          <cell r="H30">
            <v>-813378.74396135274</v>
          </cell>
          <cell r="I30">
            <v>-656681.15942028991</v>
          </cell>
          <cell r="J30">
            <v>-562522.70531400968</v>
          </cell>
          <cell r="K30">
            <v>-524480.19323671504</v>
          </cell>
          <cell r="L30">
            <v>-730763.2850241547</v>
          </cell>
          <cell r="M30">
            <v>-750591.30434782617</v>
          </cell>
          <cell r="N30">
            <v>-949766.18357487931</v>
          </cell>
          <cell r="O30">
            <v>-1235871.4975845411</v>
          </cell>
          <cell r="P30">
            <v>-1719946.8599033817</v>
          </cell>
          <cell r="T30">
            <v>27</v>
          </cell>
        </row>
        <row r="31">
          <cell r="A31">
            <v>28</v>
          </cell>
          <cell r="D31">
            <v>49775678.260869563</v>
          </cell>
          <cell r="E31">
            <v>3622480.1932367156</v>
          </cell>
          <cell r="F31">
            <v>3502004.8309178744</v>
          </cell>
          <cell r="G31">
            <v>4552784.5410628021</v>
          </cell>
          <cell r="H31">
            <v>3402130.4347826084</v>
          </cell>
          <cell r="I31">
            <v>4818623.1884057969</v>
          </cell>
          <cell r="J31">
            <v>4133953.6231884062</v>
          </cell>
          <cell r="K31">
            <v>4627104.3478260869</v>
          </cell>
          <cell r="L31">
            <v>4721895.6521739131</v>
          </cell>
          <cell r="M31">
            <v>4275230.9178743968</v>
          </cell>
          <cell r="N31">
            <v>4273317.8743961351</v>
          </cell>
          <cell r="O31">
            <v>3428828.9855072461</v>
          </cell>
          <cell r="P31">
            <v>4417323.6714975853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C33">
            <v>1.0349999999999999</v>
          </cell>
          <cell r="D33">
            <v>64367181.999999993</v>
          </cell>
          <cell r="E33">
            <v>5482726</v>
          </cell>
          <cell r="F33">
            <v>4971593</v>
          </cell>
          <cell r="G33">
            <v>6258968</v>
          </cell>
          <cell r="H33">
            <v>4363052</v>
          </cell>
          <cell r="I33">
            <v>5666940</v>
          </cell>
          <cell r="J33">
            <v>4860853</v>
          </cell>
          <cell r="K33">
            <v>5331890</v>
          </cell>
          <cell r="L33">
            <v>5643502</v>
          </cell>
          <cell r="M33">
            <v>5201726</v>
          </cell>
          <cell r="N33">
            <v>5405892</v>
          </cell>
          <cell r="O33">
            <v>4827965</v>
          </cell>
          <cell r="P33">
            <v>6352075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-12849355</v>
          </cell>
          <cell r="E34">
            <v>-1733459</v>
          </cell>
          <cell r="F34">
            <v>-1347018</v>
          </cell>
          <cell r="G34">
            <v>-1546836</v>
          </cell>
          <cell r="H34">
            <v>-841847</v>
          </cell>
          <cell r="I34">
            <v>-679665</v>
          </cell>
          <cell r="J34">
            <v>-582211</v>
          </cell>
          <cell r="K34">
            <v>-542837</v>
          </cell>
          <cell r="L34">
            <v>-756340</v>
          </cell>
          <cell r="M34">
            <v>-776862</v>
          </cell>
          <cell r="N34">
            <v>-983008</v>
          </cell>
          <cell r="O34">
            <v>-1279127</v>
          </cell>
          <cell r="P34">
            <v>-1780145</v>
          </cell>
          <cell r="T34">
            <v>31</v>
          </cell>
        </row>
        <row r="35">
          <cell r="A35">
            <v>32</v>
          </cell>
          <cell r="D35">
            <v>51517826.999999993</v>
          </cell>
          <cell r="E35">
            <v>3749267</v>
          </cell>
          <cell r="F35">
            <v>3624575</v>
          </cell>
          <cell r="G35">
            <v>4712132</v>
          </cell>
          <cell r="H35">
            <v>3521205</v>
          </cell>
          <cell r="I35">
            <v>4987275</v>
          </cell>
          <cell r="J35">
            <v>4278642</v>
          </cell>
          <cell r="K35">
            <v>4789053</v>
          </cell>
          <cell r="L35">
            <v>4887162</v>
          </cell>
          <cell r="M35">
            <v>4424864</v>
          </cell>
          <cell r="N35">
            <v>4422884</v>
          </cell>
          <cell r="O35">
            <v>3548838</v>
          </cell>
          <cell r="P35">
            <v>4571930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AD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17</v>
          </cell>
          <cell r="F43">
            <v>17</v>
          </cell>
          <cell r="G43">
            <v>17</v>
          </cell>
          <cell r="H43">
            <v>17</v>
          </cell>
          <cell r="I43">
            <v>17</v>
          </cell>
          <cell r="J43">
            <v>17</v>
          </cell>
          <cell r="K43">
            <v>17</v>
          </cell>
          <cell r="L43">
            <v>17</v>
          </cell>
          <cell r="M43">
            <v>17</v>
          </cell>
          <cell r="N43">
            <v>17</v>
          </cell>
          <cell r="O43">
            <v>17</v>
          </cell>
          <cell r="P43">
            <v>17</v>
          </cell>
          <cell r="T43">
            <v>40</v>
          </cell>
          <cell r="U43" t="str">
            <v>Interruptible transporation</v>
          </cell>
          <cell r="V43"/>
          <cell r="W43"/>
          <cell r="X43">
            <v>17</v>
          </cell>
          <cell r="Y43">
            <v>16.5</v>
          </cell>
          <cell r="Z43">
            <v>16.666666666666668</v>
          </cell>
          <cell r="AA43">
            <v>16.5</v>
          </cell>
          <cell r="AB43">
            <v>16.399999999999999</v>
          </cell>
          <cell r="AC43">
            <v>16.666666666666668</v>
          </cell>
          <cell r="AD43">
            <v>16.857142857142858</v>
          </cell>
          <cell r="AE43">
            <v>17</v>
          </cell>
          <cell r="AF43">
            <v>17.111111111111111</v>
          </cell>
          <cell r="AG43">
            <v>17.2</v>
          </cell>
          <cell r="AH43">
            <v>17.272727272727273</v>
          </cell>
          <cell r="AI43">
            <v>17.25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14</v>
          </cell>
          <cell r="F45">
            <v>14</v>
          </cell>
          <cell r="G45">
            <v>14</v>
          </cell>
          <cell r="H45">
            <v>14</v>
          </cell>
          <cell r="I45">
            <v>14</v>
          </cell>
          <cell r="J45">
            <v>14</v>
          </cell>
          <cell r="K45">
            <v>14</v>
          </cell>
          <cell r="L45">
            <v>14</v>
          </cell>
          <cell r="M45">
            <v>14</v>
          </cell>
          <cell r="N45">
            <v>14</v>
          </cell>
          <cell r="O45">
            <v>14</v>
          </cell>
          <cell r="P45">
            <v>14</v>
          </cell>
          <cell r="T45">
            <v>42</v>
          </cell>
          <cell r="U45" t="str">
            <v>Total customers</v>
          </cell>
          <cell r="V45"/>
          <cell r="W45"/>
          <cell r="X45">
            <v>14</v>
          </cell>
          <cell r="Y45">
            <v>13.5</v>
          </cell>
          <cell r="Z45">
            <v>13.666666666666668</v>
          </cell>
          <cell r="AA45">
            <v>13.5</v>
          </cell>
          <cell r="AB45">
            <v>13.399999999999999</v>
          </cell>
          <cell r="AC45">
            <v>13.666666666666668</v>
          </cell>
          <cell r="AD45">
            <v>13.857142857142858</v>
          </cell>
          <cell r="AE45">
            <v>14</v>
          </cell>
          <cell r="AF45">
            <v>14.111111111111111</v>
          </cell>
          <cell r="AG45">
            <v>14.2</v>
          </cell>
          <cell r="AH45">
            <v>14.272727272727273</v>
          </cell>
          <cell r="AI45">
            <v>14.25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5465304.3183368333</v>
          </cell>
          <cell r="F51">
            <v>10355694.780504834</v>
          </cell>
          <cell r="G51">
            <v>15988638.791909317</v>
          </cell>
          <cell r="H51">
            <v>19677553.726094857</v>
          </cell>
          <cell r="I51">
            <v>22023045.952682793</v>
          </cell>
          <cell r="J51">
            <v>24609702.904744662</v>
          </cell>
          <cell r="K51">
            <v>27118564.26492805</v>
          </cell>
          <cell r="L51">
            <v>30241929.312537864</v>
          </cell>
          <cell r="M51">
            <v>33180846.060099989</v>
          </cell>
          <cell r="N51">
            <v>36794073.341391683</v>
          </cell>
          <cell r="O51">
            <v>40889634.924723014</v>
          </cell>
          <cell r="P51">
            <v>44922738.769770481</v>
          </cell>
          <cell r="T51">
            <v>48</v>
          </cell>
          <cell r="U51" t="str">
            <v>Transportation firm</v>
          </cell>
          <cell r="W51"/>
          <cell r="X51">
            <v>5122614</v>
          </cell>
          <cell r="Y51">
            <v>9569735</v>
          </cell>
          <cell r="Z51">
            <v>14495727</v>
          </cell>
          <cell r="AA51">
            <v>17318834</v>
          </cell>
          <cell r="AB51">
            <v>21205298</v>
          </cell>
          <cell r="AC51">
            <v>25030341</v>
          </cell>
          <cell r="AD51">
            <v>28934555</v>
          </cell>
          <cell r="AE51">
            <v>32945293</v>
          </cell>
          <cell r="AF51">
            <v>37036473</v>
          </cell>
          <cell r="AG51">
            <v>41122212</v>
          </cell>
          <cell r="AH51">
            <v>45003112</v>
          </cell>
          <cell r="AI51">
            <v>50296416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95131.63058844152</v>
          </cell>
          <cell r="F52">
            <v>142152.49220574269</v>
          </cell>
          <cell r="G52">
            <v>200218.27818442043</v>
          </cell>
          <cell r="H52">
            <v>278870.49162967608</v>
          </cell>
          <cell r="I52">
            <v>296751.59309401794</v>
          </cell>
          <cell r="J52">
            <v>319426.97230782337</v>
          </cell>
          <cell r="K52">
            <v>386135.92704619223</v>
          </cell>
          <cell r="L52">
            <v>577599.47162777395</v>
          </cell>
          <cell r="M52">
            <v>659346.00939781638</v>
          </cell>
          <cell r="N52">
            <v>736784.57188892423</v>
          </cell>
          <cell r="O52">
            <v>825680.60875970847</v>
          </cell>
          <cell r="P52">
            <v>854651.74693211238</v>
          </cell>
          <cell r="T52">
            <v>49</v>
          </cell>
          <cell r="U52" t="str">
            <v>Interruptible transporation</v>
          </cell>
          <cell r="W52"/>
          <cell r="X52">
            <v>142031</v>
          </cell>
          <cell r="Y52">
            <v>208478</v>
          </cell>
          <cell r="Z52">
            <v>233515</v>
          </cell>
          <cell r="AA52">
            <v>259556</v>
          </cell>
          <cell r="AB52">
            <v>332108</v>
          </cell>
          <cell r="AC52">
            <v>413370</v>
          </cell>
          <cell r="AD52">
            <v>504217</v>
          </cell>
          <cell r="AE52">
            <v>641128</v>
          </cell>
          <cell r="AF52">
            <v>1106129</v>
          </cell>
          <cell r="AG52">
            <v>1202694</v>
          </cell>
          <cell r="AH52">
            <v>1252417</v>
          </cell>
          <cell r="AI52">
            <v>1344320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-1934871.5320512578</v>
          </cell>
          <cell r="F53">
            <v>-3255150.8979804697</v>
          </cell>
          <cell r="G53">
            <v>-4861397.1835932024</v>
          </cell>
          <cell r="H53">
            <v>-5904992.790079888</v>
          </cell>
          <cell r="I53">
            <v>-6538401.9186962675</v>
          </cell>
          <cell r="J53">
            <v>-7124398.1628923649</v>
          </cell>
          <cell r="K53">
            <v>-7694522.6926528346</v>
          </cell>
          <cell r="L53">
            <v>-8282517.0902559767</v>
          </cell>
          <cell r="M53">
            <v>-8892721.5978084542</v>
          </cell>
          <cell r="N53">
            <v>-9750131.0132917445</v>
          </cell>
          <cell r="O53">
            <v>-11060740.485434618</v>
          </cell>
          <cell r="P53">
            <v>-12616392.034001116</v>
          </cell>
          <cell r="T53">
            <v>50</v>
          </cell>
          <cell r="U53" t="str">
            <v>Less: ESNG to DE, MD &amp; SP</v>
          </cell>
          <cell r="W53"/>
          <cell r="X53">
            <v>-1569792</v>
          </cell>
          <cell r="Y53">
            <v>-2775692</v>
          </cell>
          <cell r="Z53">
            <v>-4167090</v>
          </cell>
          <cell r="AA53">
            <v>-4887552</v>
          </cell>
          <cell r="AB53">
            <v>-5549998</v>
          </cell>
          <cell r="AC53">
            <v>-6104611</v>
          </cell>
          <cell r="AD53">
            <v>-6621478</v>
          </cell>
          <cell r="AE53">
            <v>-7201595</v>
          </cell>
          <cell r="AF53">
            <v>-7814166</v>
          </cell>
          <cell r="AG53">
            <v>-8535444</v>
          </cell>
          <cell r="AH53">
            <v>-9664030</v>
          </cell>
          <cell r="AI53">
            <v>-11373352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3625564.4168740166</v>
          </cell>
          <cell r="F54">
            <v>7242696.3747301064</v>
          </cell>
          <cell r="G54">
            <v>11327459.886500534</v>
          </cell>
          <cell r="H54">
            <v>14051431.427644644</v>
          </cell>
          <cell r="I54">
            <v>15781395.627080543</v>
          </cell>
          <cell r="J54">
            <v>17804731.714160122</v>
          </cell>
          <cell r="K54">
            <v>19810177.499321409</v>
          </cell>
          <cell r="L54">
            <v>22537011.693909664</v>
          </cell>
          <cell r="M54">
            <v>24947470.471689355</v>
          </cell>
          <cell r="N54">
            <v>27780726.89998886</v>
          </cell>
          <cell r="O54">
            <v>30654575.048048105</v>
          </cell>
          <cell r="P54">
            <v>33160998.482701477</v>
          </cell>
          <cell r="T54">
            <v>51</v>
          </cell>
          <cell r="U54" t="str">
            <v>Total Deliveries</v>
          </cell>
          <cell r="V54"/>
          <cell r="W54"/>
          <cell r="X54">
            <v>3694853</v>
          </cell>
          <cell r="Y54">
            <v>7002521</v>
          </cell>
          <cell r="Z54">
            <v>10562152</v>
          </cell>
          <cell r="AA54">
            <v>12690838</v>
          </cell>
          <cell r="AB54">
            <v>15987408</v>
          </cell>
          <cell r="AC54">
            <v>19339100</v>
          </cell>
          <cell r="AD54">
            <v>22817294</v>
          </cell>
          <cell r="AE54">
            <v>26384826</v>
          </cell>
          <cell r="AF54">
            <v>30328436</v>
          </cell>
          <cell r="AG54">
            <v>33789462</v>
          </cell>
          <cell r="AH54">
            <v>36591499</v>
          </cell>
          <cell r="AI54">
            <v>40267384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5737236</v>
          </cell>
          <cell r="F58">
            <v>10852291</v>
          </cell>
          <cell r="G58">
            <v>16747764</v>
          </cell>
          <cell r="H58">
            <v>20593930</v>
          </cell>
          <cell r="I58">
            <v>23039624</v>
          </cell>
          <cell r="J58">
            <v>25744874</v>
          </cell>
          <cell r="K58">
            <v>28367166</v>
          </cell>
          <cell r="L58">
            <v>31620766</v>
          </cell>
          <cell r="M58">
            <v>34690635</v>
          </cell>
          <cell r="N58">
            <v>38449273</v>
          </cell>
          <cell r="O58">
            <v>42714698</v>
          </cell>
          <cell r="P58">
            <v>46920822</v>
          </cell>
          <cell r="T58">
            <v>55</v>
          </cell>
          <cell r="U58" t="str">
            <v>Transportation firm</v>
          </cell>
          <cell r="W58"/>
          <cell r="X58">
            <v>5380127.8057800001</v>
          </cell>
          <cell r="Y58">
            <v>10044757.493890001</v>
          </cell>
          <cell r="Z58">
            <v>15207640.449170001</v>
          </cell>
          <cell r="AA58">
            <v>18160356.291540001</v>
          </cell>
          <cell r="AB58">
            <v>22220001.127379999</v>
          </cell>
          <cell r="AC58">
            <v>26226580.668159999</v>
          </cell>
          <cell r="AD58">
            <v>30319094.90938</v>
          </cell>
          <cell r="AE58">
            <v>34505743.878059998</v>
          </cell>
          <cell r="AF58">
            <v>38789086.60266</v>
          </cell>
          <cell r="AG58">
            <v>43075598.817120001</v>
          </cell>
          <cell r="AH58">
            <v>47148060.04112</v>
          </cell>
          <cell r="AI58">
            <v>52710105.085199997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99865</v>
          </cell>
          <cell r="F59">
            <v>149046</v>
          </cell>
          <cell r="G59">
            <v>209818</v>
          </cell>
          <cell r="H59">
            <v>291823</v>
          </cell>
          <cell r="I59">
            <v>310468</v>
          </cell>
          <cell r="J59">
            <v>334183</v>
          </cell>
          <cell r="K59">
            <v>403908</v>
          </cell>
          <cell r="L59">
            <v>603355</v>
          </cell>
          <cell r="M59">
            <v>688744</v>
          </cell>
          <cell r="N59">
            <v>769299</v>
          </cell>
          <cell r="O59">
            <v>861882</v>
          </cell>
          <cell r="P59">
            <v>892096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-2031143</v>
          </cell>
          <cell r="F60">
            <v>-3412076</v>
          </cell>
          <cell r="G60">
            <v>-5093183</v>
          </cell>
          <cell r="H60">
            <v>-6181265</v>
          </cell>
          <cell r="I60">
            <v>-6841734</v>
          </cell>
          <cell r="J60">
            <v>-7454597</v>
          </cell>
          <cell r="K60">
            <v>-8050498</v>
          </cell>
          <cell r="L60">
            <v>-8663010</v>
          </cell>
          <cell r="M60">
            <v>-9300404</v>
          </cell>
          <cell r="N60">
            <v>-10192319</v>
          </cell>
          <cell r="O60">
            <v>-11557286</v>
          </cell>
          <cell r="P60">
            <v>-13179675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3805958</v>
          </cell>
          <cell r="F61">
            <v>7589261</v>
          </cell>
          <cell r="G61">
            <v>11864399</v>
          </cell>
          <cell r="H61">
            <v>14704488</v>
          </cell>
          <cell r="I61">
            <v>16508358</v>
          </cell>
          <cell r="J61">
            <v>18624460</v>
          </cell>
          <cell r="K61">
            <v>20720576</v>
          </cell>
          <cell r="L61">
            <v>23561111</v>
          </cell>
          <cell r="M61">
            <v>26078975</v>
          </cell>
          <cell r="N61">
            <v>29026253</v>
          </cell>
          <cell r="O61">
            <v>32019294</v>
          </cell>
          <cell r="P61">
            <v>34633243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5297319.8067632858</v>
          </cell>
          <cell r="F66">
            <v>10100791.304347828</v>
          </cell>
          <cell r="G66">
            <v>16148103.381642515</v>
          </cell>
          <cell r="H66">
            <v>20363612.560386475</v>
          </cell>
          <cell r="I66">
            <v>25838916.908212561</v>
          </cell>
          <cell r="J66">
            <v>30535393.236714978</v>
          </cell>
          <cell r="K66">
            <v>35686977.777777776</v>
          </cell>
          <cell r="L66">
            <v>41139636.714975841</v>
          </cell>
          <cell r="M66">
            <v>46165458.937198065</v>
          </cell>
          <cell r="N66">
            <v>51388542.995169081</v>
          </cell>
          <cell r="O66">
            <v>56053243.478260867</v>
          </cell>
          <cell r="P66">
            <v>62190514.009661831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-1674839.6135265701</v>
          </cell>
          <cell r="F67">
            <v>-2976306.2801932367</v>
          </cell>
          <cell r="G67">
            <v>-4470833.8164251205</v>
          </cell>
          <cell r="H67">
            <v>-5284212.5603864733</v>
          </cell>
          <cell r="I67">
            <v>-5940893.7198067633</v>
          </cell>
          <cell r="J67">
            <v>-6503416.4251207728</v>
          </cell>
          <cell r="K67">
            <v>-7027896.618357488</v>
          </cell>
          <cell r="L67">
            <v>-7758659.9033816429</v>
          </cell>
          <cell r="M67">
            <v>-8509251.20772947</v>
          </cell>
          <cell r="N67">
            <v>-9459017.3913043495</v>
          </cell>
          <cell r="O67">
            <v>-10694888.88888889</v>
          </cell>
          <cell r="P67">
            <v>-12414835.748792272</v>
          </cell>
        </row>
        <row r="68">
          <cell r="A68">
            <v>65</v>
          </cell>
          <cell r="D68"/>
          <cell r="E68">
            <v>3622480.1932367156</v>
          </cell>
          <cell r="F68">
            <v>7124485.0241545914</v>
          </cell>
          <cell r="G68">
            <v>11677269.565217394</v>
          </cell>
          <cell r="H68">
            <v>15079400.000000002</v>
          </cell>
          <cell r="I68">
            <v>19898023.188405797</v>
          </cell>
          <cell r="J68">
            <v>24031976.811594203</v>
          </cell>
          <cell r="K68">
            <v>28659081.159420289</v>
          </cell>
          <cell r="L68">
            <v>33380976.811594199</v>
          </cell>
          <cell r="M68">
            <v>37656207.729468599</v>
          </cell>
          <cell r="N68">
            <v>41929525.603864729</v>
          </cell>
          <cell r="O68">
            <v>45358354.589371979</v>
          </cell>
          <cell r="P68">
            <v>49775678.260869563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5482726</v>
          </cell>
          <cell r="F70">
            <v>10454319</v>
          </cell>
          <cell r="G70">
            <v>16713287</v>
          </cell>
          <cell r="H70">
            <v>21076339</v>
          </cell>
          <cell r="I70">
            <v>26743279</v>
          </cell>
          <cell r="J70">
            <v>31604132</v>
          </cell>
          <cell r="K70">
            <v>36936022</v>
          </cell>
          <cell r="L70">
            <v>42579524</v>
          </cell>
          <cell r="M70">
            <v>47781250</v>
          </cell>
          <cell r="N70">
            <v>53187142</v>
          </cell>
          <cell r="O70">
            <v>58015107</v>
          </cell>
          <cell r="P70">
            <v>64367182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-1733459</v>
          </cell>
          <cell r="F71">
            <v>-3080477</v>
          </cell>
          <cell r="G71">
            <v>-4627313</v>
          </cell>
          <cell r="H71">
            <v>-5469160</v>
          </cell>
          <cell r="I71">
            <v>-6148825</v>
          </cell>
          <cell r="J71">
            <v>-6731036</v>
          </cell>
          <cell r="K71">
            <v>-7273873</v>
          </cell>
          <cell r="L71">
            <v>-8030213</v>
          </cell>
          <cell r="M71">
            <v>-8807075</v>
          </cell>
          <cell r="N71">
            <v>-9790083</v>
          </cell>
          <cell r="O71">
            <v>-11069210</v>
          </cell>
          <cell r="P71">
            <v>-12849355</v>
          </cell>
        </row>
        <row r="72">
          <cell r="D72"/>
          <cell r="E72">
            <v>3749267</v>
          </cell>
          <cell r="F72">
            <v>7373842</v>
          </cell>
          <cell r="G72">
            <v>12085974</v>
          </cell>
          <cell r="H72">
            <v>15607179</v>
          </cell>
          <cell r="I72">
            <v>20594454</v>
          </cell>
          <cell r="J72">
            <v>24873096</v>
          </cell>
          <cell r="K72">
            <v>29662149</v>
          </cell>
          <cell r="L72">
            <v>34549311</v>
          </cell>
          <cell r="M72">
            <v>38974175</v>
          </cell>
          <cell r="N72">
            <v>43397059</v>
          </cell>
          <cell r="O72">
            <v>46945897</v>
          </cell>
          <cell r="P72">
            <v>51517827</v>
          </cell>
        </row>
      </sheetData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24686</v>
          </cell>
          <cell r="D5">
            <v>296226</v>
          </cell>
          <cell r="E5">
            <v>24564</v>
          </cell>
          <cell r="F5">
            <v>24619</v>
          </cell>
          <cell r="G5">
            <v>24749</v>
          </cell>
          <cell r="H5">
            <v>24669</v>
          </cell>
          <cell r="I5">
            <v>24650</v>
          </cell>
          <cell r="J5">
            <v>24823</v>
          </cell>
          <cell r="K5">
            <v>24833</v>
          </cell>
          <cell r="L5">
            <v>24799</v>
          </cell>
          <cell r="M5">
            <v>24801</v>
          </cell>
          <cell r="N5">
            <v>24561</v>
          </cell>
          <cell r="O5">
            <v>24587</v>
          </cell>
          <cell r="P5">
            <v>24571</v>
          </cell>
          <cell r="T5">
            <v>2</v>
          </cell>
          <cell r="U5" t="str">
            <v>Residential</v>
          </cell>
          <cell r="V5"/>
          <cell r="W5"/>
          <cell r="X5">
            <v>24372</v>
          </cell>
          <cell r="Y5">
            <v>24421</v>
          </cell>
          <cell r="Z5">
            <v>24519</v>
          </cell>
          <cell r="AA5">
            <v>24560</v>
          </cell>
          <cell r="AB5">
            <v>24597</v>
          </cell>
          <cell r="AC5">
            <v>24588</v>
          </cell>
          <cell r="AD5">
            <v>24556</v>
          </cell>
          <cell r="AE5">
            <v>24643</v>
          </cell>
          <cell r="AF5">
            <v>24685</v>
          </cell>
          <cell r="AG5">
            <v>24678</v>
          </cell>
          <cell r="AH5">
            <v>24633</v>
          </cell>
          <cell r="AI5">
            <v>24634</v>
          </cell>
        </row>
        <row r="6">
          <cell r="A6">
            <v>3</v>
          </cell>
          <cell r="B6" t="str">
            <v>Commercial</v>
          </cell>
          <cell r="C6">
            <v>7497</v>
          </cell>
          <cell r="D6">
            <v>89967</v>
          </cell>
          <cell r="E6">
            <v>7472</v>
          </cell>
          <cell r="F6">
            <v>7477</v>
          </cell>
          <cell r="G6">
            <v>7495</v>
          </cell>
          <cell r="H6">
            <v>7494</v>
          </cell>
          <cell r="I6">
            <v>7478</v>
          </cell>
          <cell r="J6">
            <v>7506</v>
          </cell>
          <cell r="K6">
            <v>7507</v>
          </cell>
          <cell r="L6">
            <v>7511</v>
          </cell>
          <cell r="M6">
            <v>7504</v>
          </cell>
          <cell r="N6">
            <v>7502</v>
          </cell>
          <cell r="O6">
            <v>7507</v>
          </cell>
          <cell r="P6">
            <v>7514</v>
          </cell>
          <cell r="T6">
            <v>3</v>
          </cell>
          <cell r="U6" t="str">
            <v>Commercial</v>
          </cell>
          <cell r="V6"/>
          <cell r="W6"/>
          <cell r="X6">
            <v>7441</v>
          </cell>
          <cell r="Y6">
            <v>7454</v>
          </cell>
          <cell r="Z6">
            <v>7443</v>
          </cell>
          <cell r="AA6">
            <v>7419</v>
          </cell>
          <cell r="AB6">
            <v>7431</v>
          </cell>
          <cell r="AC6">
            <v>7437</v>
          </cell>
          <cell r="AD6">
            <v>7437</v>
          </cell>
          <cell r="AE6">
            <v>7461</v>
          </cell>
          <cell r="AF6">
            <v>7467</v>
          </cell>
          <cell r="AG6">
            <v>7462</v>
          </cell>
          <cell r="AH6">
            <v>7478</v>
          </cell>
          <cell r="AI6">
            <v>7465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/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32185</v>
          </cell>
          <cell r="D9">
            <v>386217</v>
          </cell>
          <cell r="E9">
            <v>32038</v>
          </cell>
          <cell r="F9">
            <v>32098</v>
          </cell>
          <cell r="G9">
            <v>32246</v>
          </cell>
          <cell r="H9">
            <v>32165</v>
          </cell>
          <cell r="I9">
            <v>32130</v>
          </cell>
          <cell r="J9">
            <v>32331</v>
          </cell>
          <cell r="K9">
            <v>32342</v>
          </cell>
          <cell r="L9">
            <v>32312</v>
          </cell>
          <cell r="M9">
            <v>32307</v>
          </cell>
          <cell r="N9">
            <v>32065</v>
          </cell>
          <cell r="O9">
            <v>32096</v>
          </cell>
          <cell r="P9">
            <v>32087</v>
          </cell>
          <cell r="T9">
            <v>6</v>
          </cell>
          <cell r="U9" t="str">
            <v>Total customers</v>
          </cell>
          <cell r="V9"/>
          <cell r="W9"/>
          <cell r="X9">
            <v>31529</v>
          </cell>
          <cell r="Y9">
            <v>31560</v>
          </cell>
          <cell r="Z9">
            <v>31576</v>
          </cell>
          <cell r="AA9">
            <v>31593</v>
          </cell>
          <cell r="AB9">
            <v>31715</v>
          </cell>
          <cell r="AC9">
            <v>31732</v>
          </cell>
          <cell r="AD9">
            <v>31773</v>
          </cell>
          <cell r="AE9">
            <v>31762</v>
          </cell>
          <cell r="AF9">
            <v>31778</v>
          </cell>
          <cell r="AG9">
            <v>31755</v>
          </cell>
          <cell r="AH9">
            <v>31790</v>
          </cell>
          <cell r="AI9">
            <v>31775</v>
          </cell>
        </row>
        <row r="10">
          <cell r="A10">
            <v>7</v>
          </cell>
          <cell r="G10"/>
          <cell r="T10">
            <v>7</v>
          </cell>
          <cell r="Z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307269.28200000001</v>
          </cell>
          <cell r="E12">
            <v>35752.544000000002</v>
          </cell>
          <cell r="F12">
            <v>24919.059000000001</v>
          </cell>
          <cell r="G12">
            <v>17856.425999999999</v>
          </cell>
          <cell r="H12">
            <v>19184.017</v>
          </cell>
          <cell r="I12">
            <v>19354.330000000002</v>
          </cell>
          <cell r="J12">
            <v>28144</v>
          </cell>
          <cell r="K12">
            <v>32734.905999999999</v>
          </cell>
          <cell r="L12">
            <v>31043</v>
          </cell>
          <cell r="M12">
            <v>32437</v>
          </cell>
          <cell r="N12">
            <v>26450</v>
          </cell>
          <cell r="O12">
            <v>2836</v>
          </cell>
          <cell r="P12">
            <v>36558</v>
          </cell>
          <cell r="T12">
            <v>9</v>
          </cell>
          <cell r="U12" t="str">
            <v>Residential</v>
          </cell>
          <cell r="W12"/>
          <cell r="X12">
            <v>23380.919000000002</v>
          </cell>
          <cell r="Y12">
            <v>19491.59</v>
          </cell>
          <cell r="Z12">
            <v>18453.791000000001</v>
          </cell>
          <cell r="AA12">
            <v>20346.208999999999</v>
          </cell>
          <cell r="AB12">
            <v>21122.703000000001</v>
          </cell>
          <cell r="AC12">
            <v>27829.132000000001</v>
          </cell>
          <cell r="AD12">
            <v>33002.945</v>
          </cell>
          <cell r="AE12">
            <v>30875.004000000001</v>
          </cell>
          <cell r="AF12">
            <v>30010.624</v>
          </cell>
          <cell r="AG12">
            <v>25999.722000000002</v>
          </cell>
          <cell r="AH12">
            <v>19674.449000000001</v>
          </cell>
          <cell r="AI12">
            <v>21323.411</v>
          </cell>
        </row>
        <row r="13">
          <cell r="A13">
            <v>10</v>
          </cell>
          <cell r="B13" t="str">
            <v>Commercial</v>
          </cell>
          <cell r="D13">
            <v>302686.51299999998</v>
          </cell>
          <cell r="E13">
            <v>24990.721000000001</v>
          </cell>
          <cell r="F13">
            <v>21976.830999999998</v>
          </cell>
          <cell r="G13">
            <v>20563</v>
          </cell>
          <cell r="H13">
            <v>22046.71</v>
          </cell>
          <cell r="I13">
            <v>22675.084999999999</v>
          </cell>
          <cell r="J13">
            <v>28554</v>
          </cell>
          <cell r="K13">
            <v>30136.166000000001</v>
          </cell>
          <cell r="L13">
            <v>30037</v>
          </cell>
          <cell r="M13">
            <v>32243</v>
          </cell>
          <cell r="N13">
            <v>27866</v>
          </cell>
          <cell r="O13">
            <v>-2191</v>
          </cell>
          <cell r="P13">
            <v>43789</v>
          </cell>
          <cell r="T13">
            <v>10</v>
          </cell>
          <cell r="U13" t="str">
            <v>Commercial</v>
          </cell>
          <cell r="W13"/>
          <cell r="X13">
            <v>22683.006000000001</v>
          </cell>
          <cell r="Y13">
            <v>20864.488000000001</v>
          </cell>
          <cell r="Z13">
            <v>21314.923999999999</v>
          </cell>
          <cell r="AA13">
            <v>23223.17</v>
          </cell>
          <cell r="AB13">
            <v>23325.282999999999</v>
          </cell>
          <cell r="AC13">
            <v>28217.326000000001</v>
          </cell>
          <cell r="AD13">
            <v>29994.738000000001</v>
          </cell>
          <cell r="AE13">
            <v>29142.581999999999</v>
          </cell>
          <cell r="AF13">
            <v>29780.047999999999</v>
          </cell>
          <cell r="AG13">
            <v>27136.592000000001</v>
          </cell>
          <cell r="AH13">
            <v>24035.550999999999</v>
          </cell>
          <cell r="AI13">
            <v>21949.866000000002</v>
          </cell>
        </row>
        <row r="14">
          <cell r="A14">
            <v>11</v>
          </cell>
          <cell r="B14" t="str">
            <v xml:space="preserve">Industrial </v>
          </cell>
          <cell r="D14">
            <v>15160</v>
          </cell>
          <cell r="E14">
            <v>1370</v>
          </cell>
          <cell r="F14">
            <v>1500</v>
          </cell>
          <cell r="G14">
            <v>1650</v>
          </cell>
          <cell r="H14">
            <v>1090</v>
          </cell>
          <cell r="I14">
            <v>800</v>
          </cell>
          <cell r="J14">
            <v>2220</v>
          </cell>
          <cell r="K14">
            <v>1280</v>
          </cell>
          <cell r="L14">
            <v>950</v>
          </cell>
          <cell r="M14">
            <v>950</v>
          </cell>
          <cell r="N14">
            <v>920</v>
          </cell>
          <cell r="O14">
            <v>1240</v>
          </cell>
          <cell r="P14">
            <v>1190</v>
          </cell>
          <cell r="T14">
            <v>11</v>
          </cell>
          <cell r="U14" t="str">
            <v xml:space="preserve">Industrial </v>
          </cell>
          <cell r="W14"/>
          <cell r="X14">
            <v>1590</v>
          </cell>
          <cell r="Y14">
            <v>240</v>
          </cell>
          <cell r="Z14">
            <v>1330</v>
          </cell>
          <cell r="AA14">
            <v>1850</v>
          </cell>
          <cell r="AB14">
            <v>2090</v>
          </cell>
          <cell r="AC14">
            <v>810</v>
          </cell>
          <cell r="AD14">
            <v>620</v>
          </cell>
          <cell r="AE14">
            <v>1950</v>
          </cell>
          <cell r="AF14">
            <v>1770</v>
          </cell>
          <cell r="AG14">
            <v>730</v>
          </cell>
          <cell r="AH14">
            <v>11590</v>
          </cell>
          <cell r="AI14">
            <v>2810</v>
          </cell>
        </row>
        <row r="15">
          <cell r="A15">
            <v>12</v>
          </cell>
          <cell r="B15" t="str">
            <v>Other</v>
          </cell>
          <cell r="D15">
            <v>7402.0550000000003</v>
          </cell>
          <cell r="E15">
            <v>624.00400000000002</v>
          </cell>
          <cell r="F15">
            <v>633</v>
          </cell>
          <cell r="G15">
            <v>638.86199999999997</v>
          </cell>
          <cell r="H15">
            <v>634.72799999999995</v>
          </cell>
          <cell r="I15">
            <v>635.46400000000006</v>
          </cell>
          <cell r="J15">
            <v>637</v>
          </cell>
          <cell r="K15">
            <v>639.99699999999996</v>
          </cell>
          <cell r="L15">
            <v>636</v>
          </cell>
          <cell r="M15">
            <v>637</v>
          </cell>
          <cell r="N15">
            <v>630</v>
          </cell>
          <cell r="O15">
            <v>-254</v>
          </cell>
          <cell r="P15">
            <v>1310</v>
          </cell>
          <cell r="T15">
            <v>12</v>
          </cell>
          <cell r="U15" t="str">
            <v>Other</v>
          </cell>
          <cell r="W15"/>
          <cell r="X15">
            <v>623.37199999999996</v>
          </cell>
          <cell r="Y15">
            <v>623.69600000000003</v>
          </cell>
          <cell r="Z15">
            <v>625.43399999999997</v>
          </cell>
          <cell r="AA15">
            <v>624.65</v>
          </cell>
          <cell r="AB15">
            <v>625.85299999999995</v>
          </cell>
          <cell r="AC15">
            <v>623.88400000000001</v>
          </cell>
          <cell r="AD15">
            <v>624.69299999999998</v>
          </cell>
          <cell r="AE15">
            <v>627.04</v>
          </cell>
          <cell r="AF15">
            <v>627.95600000000002</v>
          </cell>
          <cell r="AG15">
            <v>627.34500000000003</v>
          </cell>
          <cell r="AH15">
            <v>627.92700000000002</v>
          </cell>
          <cell r="AI15">
            <v>629.47799999999995</v>
          </cell>
        </row>
        <row r="16">
          <cell r="A16">
            <v>13</v>
          </cell>
          <cell r="B16" t="str">
            <v>Total Deliveries</v>
          </cell>
          <cell r="C16"/>
          <cell r="D16">
            <v>632517.85</v>
          </cell>
          <cell r="E16">
            <v>62737.269</v>
          </cell>
          <cell r="F16">
            <v>49028.89</v>
          </cell>
          <cell r="G16">
            <v>40708.288</v>
          </cell>
          <cell r="H16">
            <v>42955.455000000002</v>
          </cell>
          <cell r="I16">
            <v>43464.879000000001</v>
          </cell>
          <cell r="J16">
            <v>59555</v>
          </cell>
          <cell r="K16">
            <v>64791.069000000003</v>
          </cell>
          <cell r="L16">
            <v>62666</v>
          </cell>
          <cell r="M16">
            <v>66267</v>
          </cell>
          <cell r="N16">
            <v>55866</v>
          </cell>
          <cell r="O16">
            <v>1631</v>
          </cell>
          <cell r="P16">
            <v>82847</v>
          </cell>
          <cell r="T16">
            <v>13</v>
          </cell>
          <cell r="U16" t="str">
            <v>Total Deliveries</v>
          </cell>
          <cell r="V16"/>
          <cell r="W16"/>
          <cell r="X16">
            <v>54554.329519999999</v>
          </cell>
          <cell r="Y16">
            <v>51681.074999999997</v>
          </cell>
          <cell r="Z16">
            <v>45119.75</v>
          </cell>
          <cell r="AA16">
            <v>43174.769000000008</v>
          </cell>
          <cell r="AB16">
            <v>45403.697</v>
          </cell>
          <cell r="AC16">
            <v>61225.494000000006</v>
          </cell>
          <cell r="AD16">
            <v>64403.224999999999</v>
          </cell>
          <cell r="AE16">
            <v>66564.97</v>
          </cell>
          <cell r="AF16">
            <v>66810.209000000003</v>
          </cell>
          <cell r="AG16">
            <v>59218.205000000002</v>
          </cell>
          <cell r="AH16">
            <v>45351.176999999996</v>
          </cell>
          <cell r="AI16">
            <v>42788.08</v>
          </cell>
        </row>
        <row r="17">
          <cell r="A17">
            <v>14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  <cell r="W17"/>
        </row>
        <row r="18">
          <cell r="A18">
            <v>15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31875</v>
          </cell>
          <cell r="F20">
            <v>31888</v>
          </cell>
          <cell r="G20">
            <v>31911</v>
          </cell>
          <cell r="H20">
            <v>31980</v>
          </cell>
          <cell r="I20">
            <v>32036</v>
          </cell>
          <cell r="J20">
            <v>32069</v>
          </cell>
          <cell r="K20">
            <v>32100</v>
          </cell>
          <cell r="L20">
            <v>32121</v>
          </cell>
          <cell r="M20">
            <v>32103</v>
          </cell>
          <cell r="N20">
            <v>32053</v>
          </cell>
          <cell r="O20">
            <v>32135</v>
          </cell>
          <cell r="P20">
            <v>32112</v>
          </cell>
          <cell r="T20">
            <v>17</v>
          </cell>
          <cell r="X20">
            <v>31729</v>
          </cell>
          <cell r="Y20">
            <v>31788</v>
          </cell>
          <cell r="Z20">
            <v>31831</v>
          </cell>
          <cell r="AA20">
            <v>31858</v>
          </cell>
          <cell r="AB20">
            <v>31891</v>
          </cell>
          <cell r="AC20">
            <v>31923</v>
          </cell>
          <cell r="AD20">
            <v>31936</v>
          </cell>
          <cell r="AE20">
            <v>31928</v>
          </cell>
          <cell r="AF20">
            <v>31920</v>
          </cell>
          <cell r="AG20">
            <v>31880</v>
          </cell>
          <cell r="AH20">
            <v>31926</v>
          </cell>
          <cell r="AI20">
            <v>31911</v>
          </cell>
        </row>
        <row r="21">
          <cell r="A21">
            <v>18</v>
          </cell>
          <cell r="B21" t="str">
            <v>Volume (KWH)</v>
          </cell>
          <cell r="C21"/>
          <cell r="D21"/>
          <cell r="E21">
            <v>51464.739000000001</v>
          </cell>
          <cell r="F21">
            <v>46444.86</v>
          </cell>
          <cell r="G21">
            <v>44019.144999999997</v>
          </cell>
          <cell r="H21">
            <v>44604.292000000001</v>
          </cell>
          <cell r="I21">
            <v>46365.64</v>
          </cell>
          <cell r="J21">
            <v>60603.445</v>
          </cell>
          <cell r="K21">
            <v>68325.709000000003</v>
          </cell>
          <cell r="L21">
            <v>68307.967999999993</v>
          </cell>
          <cell r="M21">
            <v>66645.614000000001</v>
          </cell>
          <cell r="N21">
            <v>55539.233999999997</v>
          </cell>
          <cell r="O21">
            <v>46376.476000000002</v>
          </cell>
          <cell r="P21">
            <v>46163.798999999999</v>
          </cell>
          <cell r="T21">
            <v>18</v>
          </cell>
          <cell r="X21">
            <v>56588.516000000003</v>
          </cell>
          <cell r="Y21">
            <v>50968.468000000001</v>
          </cell>
          <cell r="Z21">
            <v>45312.502999999997</v>
          </cell>
          <cell r="AA21">
            <v>42099.792000000001</v>
          </cell>
          <cell r="AB21">
            <v>44527.938000000002</v>
          </cell>
          <cell r="AC21">
            <v>53558.296000000002</v>
          </cell>
          <cell r="AD21">
            <v>65700.703999999998</v>
          </cell>
          <cell r="AE21">
            <v>64415.542000000001</v>
          </cell>
          <cell r="AF21">
            <v>60348.042000000001</v>
          </cell>
          <cell r="AG21">
            <v>47823.288999999997</v>
          </cell>
          <cell r="AH21">
            <v>43869.203000000001</v>
          </cell>
          <cell r="AI21">
            <v>45951.063999999998</v>
          </cell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/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24667</v>
          </cell>
          <cell r="D27">
            <v>296005</v>
          </cell>
          <cell r="E27">
            <v>24564</v>
          </cell>
          <cell r="F27">
            <v>24592</v>
          </cell>
          <cell r="G27">
            <v>24644</v>
          </cell>
          <cell r="H27">
            <v>24650</v>
          </cell>
          <cell r="I27">
            <v>24650</v>
          </cell>
          <cell r="J27">
            <v>24679</v>
          </cell>
          <cell r="K27">
            <v>24701</v>
          </cell>
          <cell r="L27">
            <v>24713</v>
          </cell>
          <cell r="M27">
            <v>24723</v>
          </cell>
          <cell r="N27">
            <v>24707</v>
          </cell>
          <cell r="O27">
            <v>24696</v>
          </cell>
          <cell r="P27">
            <v>24686</v>
          </cell>
          <cell r="T27">
            <v>24</v>
          </cell>
          <cell r="U27" t="str">
            <v>Residential</v>
          </cell>
          <cell r="V27"/>
          <cell r="W27"/>
          <cell r="X27">
            <v>24372</v>
          </cell>
          <cell r="Y27">
            <v>24397</v>
          </cell>
          <cell r="Z27">
            <v>24437</v>
          </cell>
          <cell r="AA27">
            <v>24468</v>
          </cell>
          <cell r="AB27">
            <v>24494</v>
          </cell>
          <cell r="AC27">
            <v>24510</v>
          </cell>
          <cell r="AD27">
            <v>24516</v>
          </cell>
          <cell r="AE27">
            <v>24532</v>
          </cell>
          <cell r="AF27">
            <v>24549</v>
          </cell>
          <cell r="AG27">
            <v>24562</v>
          </cell>
          <cell r="AH27">
            <v>24568</v>
          </cell>
          <cell r="AI27">
            <v>24574</v>
          </cell>
        </row>
        <row r="28">
          <cell r="A28">
            <v>25</v>
          </cell>
          <cell r="B28" t="str">
            <v>Commercial</v>
          </cell>
          <cell r="C28">
            <v>7487</v>
          </cell>
          <cell r="D28">
            <v>89848</v>
          </cell>
          <cell r="E28">
            <v>7472</v>
          </cell>
          <cell r="F28">
            <v>7475</v>
          </cell>
          <cell r="G28">
            <v>7481</v>
          </cell>
          <cell r="H28">
            <v>7485</v>
          </cell>
          <cell r="I28">
            <v>7483</v>
          </cell>
          <cell r="J28">
            <v>7487</v>
          </cell>
          <cell r="K28">
            <v>7490</v>
          </cell>
          <cell r="L28">
            <v>7493</v>
          </cell>
          <cell r="M28">
            <v>7494</v>
          </cell>
          <cell r="N28">
            <v>7495</v>
          </cell>
          <cell r="O28">
            <v>7496</v>
          </cell>
          <cell r="P28">
            <v>7497</v>
          </cell>
          <cell r="T28">
            <v>25</v>
          </cell>
          <cell r="U28" t="str">
            <v>Commercial</v>
          </cell>
          <cell r="V28"/>
          <cell r="W28"/>
          <cell r="X28">
            <v>7441</v>
          </cell>
          <cell r="Y28">
            <v>7448</v>
          </cell>
          <cell r="Z28">
            <v>7446</v>
          </cell>
          <cell r="AA28">
            <v>7439</v>
          </cell>
          <cell r="AB28">
            <v>7438</v>
          </cell>
          <cell r="AC28">
            <v>7438</v>
          </cell>
          <cell r="AD28">
            <v>7437</v>
          </cell>
          <cell r="AE28">
            <v>7440</v>
          </cell>
          <cell r="AF28">
            <v>7443</v>
          </cell>
          <cell r="AG28">
            <v>7445</v>
          </cell>
          <cell r="AH28">
            <v>7448</v>
          </cell>
          <cell r="AI28">
            <v>7450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/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V30"/>
          <cell r="W30"/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28</v>
          </cell>
          <cell r="B31" t="str">
            <v>Total customers</v>
          </cell>
          <cell r="C31">
            <v>32156</v>
          </cell>
          <cell r="D31">
            <v>385877</v>
          </cell>
          <cell r="E31">
            <v>32038</v>
          </cell>
          <cell r="F31">
            <v>32069</v>
          </cell>
          <cell r="G31">
            <v>32127</v>
          </cell>
          <cell r="H31">
            <v>32137</v>
          </cell>
          <cell r="I31">
            <v>32135</v>
          </cell>
          <cell r="J31">
            <v>32168</v>
          </cell>
          <cell r="K31">
            <v>32193</v>
          </cell>
          <cell r="L31">
            <v>32208</v>
          </cell>
          <cell r="M31">
            <v>32219</v>
          </cell>
          <cell r="N31">
            <v>32204</v>
          </cell>
          <cell r="O31">
            <v>32194</v>
          </cell>
          <cell r="P31">
            <v>32185</v>
          </cell>
          <cell r="T31">
            <v>28</v>
          </cell>
          <cell r="U31" t="str">
            <v>Total customers</v>
          </cell>
          <cell r="V31"/>
          <cell r="W31"/>
          <cell r="X31">
            <v>31529</v>
          </cell>
          <cell r="Y31">
            <v>31545</v>
          </cell>
          <cell r="Z31">
            <v>31555</v>
          </cell>
          <cell r="AA31">
            <v>31564</v>
          </cell>
          <cell r="AB31">
            <v>31594</v>
          </cell>
          <cell r="AC31">
            <v>31618</v>
          </cell>
          <cell r="AD31">
            <v>31640</v>
          </cell>
          <cell r="AE31">
            <v>31655</v>
          </cell>
          <cell r="AF31">
            <v>31669</v>
          </cell>
          <cell r="AG31">
            <v>31678</v>
          </cell>
          <cell r="AH31">
            <v>31687</v>
          </cell>
          <cell r="AI31">
            <v>31695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35752.544000000002</v>
          </cell>
          <cell r="F35">
            <v>60671.603000000003</v>
          </cell>
          <cell r="G35">
            <v>78528.02900000001</v>
          </cell>
          <cell r="H35">
            <v>97712.046000000002</v>
          </cell>
          <cell r="I35">
            <v>117066.376</v>
          </cell>
          <cell r="J35">
            <v>145210.37599999999</v>
          </cell>
          <cell r="K35">
            <v>177945.28199999998</v>
          </cell>
          <cell r="L35">
            <v>208988.28199999998</v>
          </cell>
          <cell r="M35">
            <v>241425.28199999998</v>
          </cell>
          <cell r="N35">
            <v>267875.28200000001</v>
          </cell>
          <cell r="O35">
            <v>270711.28200000001</v>
          </cell>
          <cell r="P35">
            <v>307269.28200000001</v>
          </cell>
          <cell r="T35">
            <v>32</v>
          </cell>
          <cell r="U35" t="str">
            <v>Residential</v>
          </cell>
          <cell r="W35"/>
          <cell r="X35">
            <v>23380.919000000002</v>
          </cell>
          <cell r="Y35">
            <v>42872.509000000005</v>
          </cell>
          <cell r="Z35">
            <v>61326.3</v>
          </cell>
          <cell r="AA35">
            <v>81672.509000000005</v>
          </cell>
          <cell r="AB35">
            <v>102795.212</v>
          </cell>
          <cell r="AC35">
            <v>130624.344</v>
          </cell>
          <cell r="AD35">
            <v>163627.28899999999</v>
          </cell>
          <cell r="AE35">
            <v>194502.29300000001</v>
          </cell>
          <cell r="AF35">
            <v>224512.91700000002</v>
          </cell>
          <cell r="AG35">
            <v>250512.63900000002</v>
          </cell>
          <cell r="AH35">
            <v>270187.08800000005</v>
          </cell>
          <cell r="AI35">
            <v>291510.49900000007</v>
          </cell>
        </row>
        <row r="36">
          <cell r="A36">
            <v>33</v>
          </cell>
          <cell r="B36" t="str">
            <v>Commercial</v>
          </cell>
          <cell r="D36"/>
          <cell r="E36">
            <v>24990.721000000001</v>
          </cell>
          <cell r="F36">
            <v>46967.551999999996</v>
          </cell>
          <cell r="G36">
            <v>67530.551999999996</v>
          </cell>
          <cell r="H36">
            <v>89577.261999999988</v>
          </cell>
          <cell r="I36">
            <v>112252.34699999998</v>
          </cell>
          <cell r="J36">
            <v>140806.34699999998</v>
          </cell>
          <cell r="K36">
            <v>170942.51299999998</v>
          </cell>
          <cell r="L36">
            <v>200979.51299999998</v>
          </cell>
          <cell r="M36">
            <v>233222.51299999998</v>
          </cell>
          <cell r="N36">
            <v>261088.51299999998</v>
          </cell>
          <cell r="O36">
            <v>258897.51299999998</v>
          </cell>
          <cell r="P36">
            <v>302686.51299999998</v>
          </cell>
          <cell r="T36">
            <v>33</v>
          </cell>
          <cell r="U36" t="str">
            <v>Commercial</v>
          </cell>
          <cell r="W36"/>
          <cell r="X36">
            <v>22683.006000000001</v>
          </cell>
          <cell r="Y36">
            <v>43547.494000000006</v>
          </cell>
          <cell r="Z36">
            <v>64862.418000000005</v>
          </cell>
          <cell r="AA36">
            <v>88085.588000000003</v>
          </cell>
          <cell r="AB36">
            <v>111410.871</v>
          </cell>
          <cell r="AC36">
            <v>139628.19699999999</v>
          </cell>
          <cell r="AD36">
            <v>169622.935</v>
          </cell>
          <cell r="AE36">
            <v>198765.51699999999</v>
          </cell>
          <cell r="AF36">
            <v>228545.565</v>
          </cell>
          <cell r="AG36">
            <v>255682.15700000001</v>
          </cell>
          <cell r="AH36">
            <v>279717.70799999998</v>
          </cell>
          <cell r="AI36">
            <v>301667.57399999996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1370</v>
          </cell>
          <cell r="F37">
            <v>2870</v>
          </cell>
          <cell r="G37">
            <v>4520</v>
          </cell>
          <cell r="H37">
            <v>5610</v>
          </cell>
          <cell r="I37">
            <v>6410</v>
          </cell>
          <cell r="J37">
            <v>8630</v>
          </cell>
          <cell r="K37">
            <v>9910</v>
          </cell>
          <cell r="L37">
            <v>10860</v>
          </cell>
          <cell r="M37">
            <v>11810</v>
          </cell>
          <cell r="N37">
            <v>12730</v>
          </cell>
          <cell r="O37">
            <v>13970</v>
          </cell>
          <cell r="P37">
            <v>15160</v>
          </cell>
          <cell r="T37">
            <v>34</v>
          </cell>
          <cell r="U37" t="str">
            <v xml:space="preserve">Industrial </v>
          </cell>
          <cell r="W37"/>
          <cell r="X37">
            <v>1590</v>
          </cell>
          <cell r="Y37">
            <v>1830</v>
          </cell>
          <cell r="Z37">
            <v>3160</v>
          </cell>
          <cell r="AA37">
            <v>5010</v>
          </cell>
          <cell r="AB37">
            <v>7100</v>
          </cell>
          <cell r="AC37">
            <v>7910</v>
          </cell>
          <cell r="AD37">
            <v>8530</v>
          </cell>
          <cell r="AE37">
            <v>10480</v>
          </cell>
          <cell r="AF37">
            <v>12250</v>
          </cell>
          <cell r="AG37">
            <v>12980</v>
          </cell>
          <cell r="AH37">
            <v>24570</v>
          </cell>
          <cell r="AI37">
            <v>27380</v>
          </cell>
        </row>
        <row r="38">
          <cell r="A38">
            <v>35</v>
          </cell>
          <cell r="B38" t="str">
            <v>Other</v>
          </cell>
          <cell r="D38"/>
          <cell r="E38">
            <v>624.00400000000002</v>
          </cell>
          <cell r="F38">
            <v>1257.0039999999999</v>
          </cell>
          <cell r="G38">
            <v>1895.866</v>
          </cell>
          <cell r="H38">
            <v>2530.5940000000001</v>
          </cell>
          <cell r="I38">
            <v>3166.058</v>
          </cell>
          <cell r="J38">
            <v>3803.058</v>
          </cell>
          <cell r="K38">
            <v>4443.0550000000003</v>
          </cell>
          <cell r="L38">
            <v>5079.0550000000003</v>
          </cell>
          <cell r="M38">
            <v>5716.0550000000003</v>
          </cell>
          <cell r="N38">
            <v>6346.0550000000003</v>
          </cell>
          <cell r="O38">
            <v>6092.0550000000003</v>
          </cell>
          <cell r="P38">
            <v>7402.0550000000003</v>
          </cell>
          <cell r="T38">
            <v>35</v>
          </cell>
          <cell r="U38" t="str">
            <v>Other</v>
          </cell>
          <cell r="W38"/>
          <cell r="X38">
            <v>623.37199999999996</v>
          </cell>
          <cell r="Y38">
            <v>1247.068</v>
          </cell>
          <cell r="Z38">
            <v>1872.502</v>
          </cell>
          <cell r="AA38">
            <v>2497.152</v>
          </cell>
          <cell r="AB38">
            <v>3123.0050000000001</v>
          </cell>
          <cell r="AC38">
            <v>3746.8890000000001</v>
          </cell>
          <cell r="AD38">
            <v>4371.5820000000003</v>
          </cell>
          <cell r="AE38">
            <v>4998.6220000000003</v>
          </cell>
          <cell r="AF38">
            <v>5626.5780000000004</v>
          </cell>
          <cell r="AG38">
            <v>6253.9230000000007</v>
          </cell>
          <cell r="AH38">
            <v>6881.85</v>
          </cell>
          <cell r="AI38">
            <v>7511.3280000000004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62737.269</v>
          </cell>
          <cell r="F39">
            <v>111766.159</v>
          </cell>
          <cell r="G39">
            <v>152474.44700000001</v>
          </cell>
          <cell r="H39">
            <v>195429.902</v>
          </cell>
          <cell r="I39">
            <v>238894.78099999999</v>
          </cell>
          <cell r="J39">
            <v>298449.78100000002</v>
          </cell>
          <cell r="K39">
            <v>363240.84999999992</v>
          </cell>
          <cell r="L39">
            <v>425906.84999999992</v>
          </cell>
          <cell r="M39">
            <v>492173.84999999992</v>
          </cell>
          <cell r="N39">
            <v>548039.85</v>
          </cell>
          <cell r="O39">
            <v>549670.85</v>
          </cell>
          <cell r="P39">
            <v>632517.85</v>
          </cell>
          <cell r="T39">
            <v>36</v>
          </cell>
          <cell r="U39" t="str">
            <v>Total Deliveries</v>
          </cell>
          <cell r="V39"/>
          <cell r="W39"/>
          <cell r="X39">
            <v>54554.329519999999</v>
          </cell>
          <cell r="Y39">
            <v>106235.40452</v>
          </cell>
          <cell r="Z39">
            <v>151355.15451999998</v>
          </cell>
          <cell r="AA39">
            <v>194529.92352000001</v>
          </cell>
          <cell r="AB39">
            <v>239933.62052</v>
          </cell>
          <cell r="AC39">
            <v>301159.11451999994</v>
          </cell>
          <cell r="AD39">
            <v>365562.33951999998</v>
          </cell>
          <cell r="AE39">
            <v>432127.30951999995</v>
          </cell>
          <cell r="AF39">
            <v>498937.51851999998</v>
          </cell>
          <cell r="AG39">
            <v>558155.72352</v>
          </cell>
          <cell r="AH39">
            <v>603506.90052000014</v>
          </cell>
          <cell r="AI39">
            <v>646294.98051999998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 xml:space="preserve">BUDGET </v>
          </cell>
          <cell r="C43"/>
          <cell r="D43"/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A44">
            <v>41</v>
          </cell>
          <cell r="B44" t="str">
            <v>Customers  - YTD average</v>
          </cell>
          <cell r="C44"/>
          <cell r="D44"/>
          <cell r="E44">
            <v>31875</v>
          </cell>
          <cell r="F44">
            <v>31882</v>
          </cell>
          <cell r="G44">
            <v>31891</v>
          </cell>
          <cell r="H44">
            <v>31914</v>
          </cell>
          <cell r="I44">
            <v>31938</v>
          </cell>
          <cell r="J44">
            <v>31960</v>
          </cell>
          <cell r="K44">
            <v>31980</v>
          </cell>
          <cell r="L44">
            <v>31998</v>
          </cell>
          <cell r="M44">
            <v>32009</v>
          </cell>
          <cell r="N44">
            <v>32014</v>
          </cell>
          <cell r="O44">
            <v>32025</v>
          </cell>
          <cell r="P44">
            <v>32032</v>
          </cell>
          <cell r="T44">
            <v>39</v>
          </cell>
          <cell r="X44">
            <v>31729</v>
          </cell>
          <cell r="Y44">
            <v>31759</v>
          </cell>
          <cell r="Z44">
            <v>31783</v>
          </cell>
          <cell r="AA44">
            <v>31802</v>
          </cell>
          <cell r="AB44">
            <v>31819</v>
          </cell>
          <cell r="AC44">
            <v>31837</v>
          </cell>
          <cell r="AD44">
            <v>31851</v>
          </cell>
          <cell r="AE44">
            <v>31861</v>
          </cell>
          <cell r="AF44">
            <v>31867</v>
          </cell>
          <cell r="AG44">
            <v>31868</v>
          </cell>
          <cell r="AH44">
            <v>31874</v>
          </cell>
          <cell r="AI44">
            <v>31877</v>
          </cell>
        </row>
        <row r="45">
          <cell r="A45">
            <v>42</v>
          </cell>
          <cell r="B45" t="str">
            <v>Volume (KWH)- cumulative total</v>
          </cell>
          <cell r="C45"/>
          <cell r="D45"/>
          <cell r="E45">
            <v>51464.739000000001</v>
          </cell>
          <cell r="F45">
            <v>97909.599000000002</v>
          </cell>
          <cell r="G45">
            <v>141928.74400000001</v>
          </cell>
          <cell r="H45">
            <v>186533.03600000002</v>
          </cell>
          <cell r="I45">
            <v>232898.67600000004</v>
          </cell>
          <cell r="J45">
            <v>293502.12100000004</v>
          </cell>
          <cell r="K45">
            <v>361827.83000000007</v>
          </cell>
          <cell r="L45">
            <v>430135.79800000007</v>
          </cell>
          <cell r="M45">
            <v>496781.41200000007</v>
          </cell>
          <cell r="N45">
            <v>552320.64600000007</v>
          </cell>
          <cell r="O45">
            <v>598697.12200000009</v>
          </cell>
          <cell r="P45">
            <v>644860.92100000009</v>
          </cell>
          <cell r="T45">
            <v>40</v>
          </cell>
          <cell r="X45">
            <v>56588.516000000003</v>
          </cell>
          <cell r="Y45">
            <v>107556.984</v>
          </cell>
          <cell r="Z45">
            <v>152869.48699999999</v>
          </cell>
          <cell r="AA45">
            <v>194969.27899999998</v>
          </cell>
          <cell r="AB45">
            <v>239497.21699999998</v>
          </cell>
          <cell r="AC45">
            <v>293055.51299999998</v>
          </cell>
          <cell r="AD45">
            <v>358756.21699999995</v>
          </cell>
          <cell r="AE45">
            <v>423171.75899999996</v>
          </cell>
          <cell r="AF45">
            <v>483519.80099999998</v>
          </cell>
          <cell r="AG45">
            <v>531343.09</v>
          </cell>
          <cell r="AH45">
            <v>575212.29299999995</v>
          </cell>
          <cell r="AI45">
            <v>621163.35699999996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INPUT_Date.Etc"/>
      <sheetName val="Customers Act vs Budget"/>
      <sheetName val="VolumesActvsAct"/>
      <sheetName val="CustomersActvsAct"/>
      <sheetName val="Volumes Act vs Budget"/>
      <sheetName val="RegCust"/>
      <sheetName val="RegVol"/>
      <sheetName val="UnregCust"/>
      <sheetName val="UnregVol"/>
      <sheetName val="Utility stats Q1 2019"/>
      <sheetName val="Delaware"/>
      <sheetName val="Maryland"/>
      <sheetName val="Sandpiper"/>
      <sheetName val="CFG"/>
      <sheetName val="FPUNG"/>
      <sheetName val="ESNG"/>
      <sheetName val="Electric"/>
      <sheetName val="FloridaPropane"/>
      <sheetName val="SharpDelmarva"/>
      <sheetName val="AEO"/>
      <sheetName val="PESCO"/>
    </sheetNames>
    <sheetDataSet>
      <sheetData sheetId="0"/>
      <sheetData sheetId="1">
        <row r="4">
          <cell r="B4">
            <v>12</v>
          </cell>
        </row>
        <row r="7">
          <cell r="B7" t="str">
            <v>For the Twelve Months ended December 31, 2019 and 2018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2019 and 2018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2019</v>
          </cell>
          <cell r="J14" t="str">
            <v>Actual customers for the Month of January 2018</v>
          </cell>
          <cell r="K14" t="str">
            <v>Average customers for the One Month ended January 31, 2019</v>
          </cell>
          <cell r="L14" t="str">
            <v>Average customers for the One Month ended January 31, 2018</v>
          </cell>
          <cell r="M14" t="str">
            <v>Volume for the Month of January 2019</v>
          </cell>
          <cell r="N14" t="str">
            <v>Volume for the Month of January 2018</v>
          </cell>
          <cell r="O14" t="str">
            <v>Volume for the One Month ended January 31, 2019</v>
          </cell>
          <cell r="P14" t="str">
            <v>Volume for the One Month ended January 31, 2018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2019 and 2018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2019</v>
          </cell>
          <cell r="J15" t="str">
            <v>Actual customers for the Month of February 2018</v>
          </cell>
          <cell r="K15" t="str">
            <v>Average customers for the Two Months ended February 28, 2019</v>
          </cell>
          <cell r="L15" t="str">
            <v>Average customers for the Two Months ended February 28, 2018</v>
          </cell>
          <cell r="M15" t="str">
            <v>Volume for the Month of February 2019</v>
          </cell>
          <cell r="N15" t="str">
            <v>Volume for the Month of February 2018</v>
          </cell>
          <cell r="O15" t="str">
            <v>Volume for the Two Months ended February 28, 2019</v>
          </cell>
          <cell r="P15" t="str">
            <v>Volume for the Two Months ended February 28, 2018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2019 and 2018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2019</v>
          </cell>
          <cell r="J16" t="str">
            <v>Actual customers for the Month of March 2018</v>
          </cell>
          <cell r="K16" t="str">
            <v>Average customers for the Three Months ended March 31, 2019</v>
          </cell>
          <cell r="L16" t="str">
            <v>Average customers for the Three Months ended March 31, 2018</v>
          </cell>
          <cell r="M16" t="str">
            <v>Volume for the Month of March 2019</v>
          </cell>
          <cell r="N16" t="str">
            <v>Volume for the Month of March 2018</v>
          </cell>
          <cell r="O16" t="str">
            <v>Volume for the Three Months ended March 31, 2019</v>
          </cell>
          <cell r="P16" t="str">
            <v>Volume for the Three Months ended March 31, 2018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2019 and 2018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2019</v>
          </cell>
          <cell r="J17" t="str">
            <v>Actual customers for the Month of April 2018</v>
          </cell>
          <cell r="K17" t="str">
            <v>Average customers for the Four Months ended April 30, 2019</v>
          </cell>
          <cell r="L17" t="str">
            <v>Average customers for the Four Months ended April 30, 2018</v>
          </cell>
          <cell r="M17" t="str">
            <v>Volume for the Month of April 2019</v>
          </cell>
          <cell r="N17" t="str">
            <v>Volume for the Month of April 2018</v>
          </cell>
          <cell r="O17" t="str">
            <v>Volume for the Four Months ended April 30, 2019</v>
          </cell>
          <cell r="P17" t="str">
            <v>Volume for the Four Months ended April 30, 2018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2019 and 2018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2019</v>
          </cell>
          <cell r="J18" t="str">
            <v>Actual customers for the Month of May 2018</v>
          </cell>
          <cell r="K18" t="str">
            <v>Average customers for the Five Months ended May 31, 2019</v>
          </cell>
          <cell r="L18" t="str">
            <v>Average customers for the Five Months ended May 31, 2018</v>
          </cell>
          <cell r="M18" t="str">
            <v>Volume for the Month of May 2019</v>
          </cell>
          <cell r="N18" t="str">
            <v>Volume for the Month of May 2018</v>
          </cell>
          <cell r="O18" t="str">
            <v>Volume for the Five Months ended May 31, 2019</v>
          </cell>
          <cell r="P18" t="str">
            <v>Volume for the Five Months ended May 31, 2018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2019 and 2018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2019</v>
          </cell>
          <cell r="J19" t="str">
            <v>Actual customers for the Month of June 2018</v>
          </cell>
          <cell r="K19" t="str">
            <v>Average customers for the Six Months ended June 30, 2019</v>
          </cell>
          <cell r="L19" t="str">
            <v>Average customers for the Six Months ended June 30, 2018</v>
          </cell>
          <cell r="M19" t="str">
            <v>Volume for the Month of June 2019</v>
          </cell>
          <cell r="N19" t="str">
            <v>Volume for the Month of June 2018</v>
          </cell>
          <cell r="O19" t="str">
            <v>Volume for the Six Months ended June 30, 2019</v>
          </cell>
          <cell r="P19" t="str">
            <v>Volume for the Six Months ended June 30, 2018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2019 and 2018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2019</v>
          </cell>
          <cell r="J20" t="str">
            <v>Actual customers for the Month of July 2018</v>
          </cell>
          <cell r="K20" t="str">
            <v>Average customers for the Seven Months ended July 31, 2019</v>
          </cell>
          <cell r="L20" t="str">
            <v>Average customers for the Seven Months ended July 31, 2018</v>
          </cell>
          <cell r="M20" t="str">
            <v>Volume for the Month of July 2019</v>
          </cell>
          <cell r="N20" t="str">
            <v>Volume for the Month of July 2018</v>
          </cell>
          <cell r="O20" t="str">
            <v>Volume for the Seven Months ended July 31, 2019</v>
          </cell>
          <cell r="P20" t="str">
            <v>Volume for the Seven Months ended July 31, 2018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2019 and 2018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2019</v>
          </cell>
          <cell r="J21" t="str">
            <v>Actual customers for the Month of August 2018</v>
          </cell>
          <cell r="K21" t="str">
            <v>Average customers for the Eight Months ended August 31, 2019</v>
          </cell>
          <cell r="L21" t="str">
            <v>Average customers for the Eight Months ended August 31, 2018</v>
          </cell>
          <cell r="M21" t="str">
            <v>Volume for the Month of August 2019</v>
          </cell>
          <cell r="N21" t="str">
            <v>Volume for the Month of August 2018</v>
          </cell>
          <cell r="O21" t="str">
            <v>Volume for the Eight Months ended August 31, 2019</v>
          </cell>
          <cell r="P21" t="str">
            <v>Volume for the Eight Months ended August 31, 2018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2019 and 2018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2019</v>
          </cell>
          <cell r="J22" t="str">
            <v>Actual customers for the Month of September 2018</v>
          </cell>
          <cell r="K22" t="str">
            <v>Average customers for the Nine Months ended September 30, 2019</v>
          </cell>
          <cell r="L22" t="str">
            <v>Average customers for the Nine Months ended September 30, 2018</v>
          </cell>
          <cell r="M22" t="str">
            <v>Volume for the Month of September 2019</v>
          </cell>
          <cell r="N22" t="str">
            <v>Volume for the Month of September 2018</v>
          </cell>
          <cell r="O22" t="str">
            <v>Volume for the Nine Months ended September 30, 2019</v>
          </cell>
          <cell r="P22" t="str">
            <v>Volume for the Nine Months ended September 30, 2018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2019 and 2018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2019</v>
          </cell>
          <cell r="J23" t="str">
            <v>Actual customers for the Month of October 2018</v>
          </cell>
          <cell r="K23" t="str">
            <v>Average customers for the Ten Months ended October 31, 2019</v>
          </cell>
          <cell r="L23" t="str">
            <v>Average customers for the Ten Months ended October 31, 2018</v>
          </cell>
          <cell r="M23" t="str">
            <v>Volume for the Month of October 2019</v>
          </cell>
          <cell r="N23" t="str">
            <v>Volume for the Month of October 2018</v>
          </cell>
          <cell r="O23" t="str">
            <v>Volume for the Ten Months ended October 31, 2019</v>
          </cell>
          <cell r="P23" t="str">
            <v>Volume for the Ten Months ended October 31, 2018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2019 and 2018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2019</v>
          </cell>
          <cell r="J24" t="str">
            <v>Actual customers for the Month of November 2018</v>
          </cell>
          <cell r="K24" t="str">
            <v>Average customers for the Eleven Months ended November 30, 2019</v>
          </cell>
          <cell r="L24" t="str">
            <v>Average customers for the Eleven Months ended November 30, 2018</v>
          </cell>
          <cell r="M24" t="str">
            <v>Volume for the Month of November 2019</v>
          </cell>
          <cell r="N24" t="str">
            <v>Volume for the Month of November 2018</v>
          </cell>
          <cell r="O24" t="str">
            <v>Volume for the Eleven Months ended November 30, 2019</v>
          </cell>
          <cell r="P24" t="str">
            <v>Volume for the Eleven Months ended November 30, 2018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2019 and 2018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2019</v>
          </cell>
          <cell r="J25" t="str">
            <v>Actual customers for the Month of December 2018</v>
          </cell>
          <cell r="K25" t="str">
            <v>Average customers for the Twelve Months ended December 31, 2019</v>
          </cell>
          <cell r="L25" t="str">
            <v>Average customers for the Twelve Months ended December 31, 2018</v>
          </cell>
          <cell r="M25" t="str">
            <v>Volume for the Month of December 2019</v>
          </cell>
          <cell r="N25" t="str">
            <v>Volume for the Month of December 2018</v>
          </cell>
          <cell r="O25" t="str">
            <v>Volume for the Twelve Months ended December 31, 2019</v>
          </cell>
          <cell r="P25" t="str">
            <v>Volume for the Twelve Months ended December 31, 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53204.75</v>
          </cell>
          <cell r="E5">
            <v>52740</v>
          </cell>
          <cell r="F5">
            <v>52940</v>
          </cell>
          <cell r="G5">
            <v>53088</v>
          </cell>
          <cell r="H5">
            <v>53007</v>
          </cell>
          <cell r="I5">
            <v>52965</v>
          </cell>
          <cell r="J5">
            <v>52762</v>
          </cell>
          <cell r="K5">
            <v>52810</v>
          </cell>
          <cell r="L5">
            <v>52908</v>
          </cell>
          <cell r="M5">
            <v>53071</v>
          </cell>
          <cell r="N5">
            <v>53264</v>
          </cell>
          <cell r="O5">
            <v>54017</v>
          </cell>
          <cell r="P5">
            <v>54885</v>
          </cell>
          <cell r="T5">
            <v>2</v>
          </cell>
          <cell r="U5" t="str">
            <v>Residential</v>
          </cell>
          <cell r="V5">
            <v>50675</v>
          </cell>
          <cell r="W5">
            <v>608099</v>
          </cell>
          <cell r="X5">
            <v>50133</v>
          </cell>
          <cell r="Y5">
            <v>50319</v>
          </cell>
          <cell r="Z5">
            <v>50396</v>
          </cell>
          <cell r="AA5">
            <v>50486</v>
          </cell>
          <cell r="AB5">
            <v>50384</v>
          </cell>
          <cell r="AC5">
            <v>50307</v>
          </cell>
          <cell r="AD5">
            <v>50283</v>
          </cell>
          <cell r="AE5">
            <v>50379</v>
          </cell>
          <cell r="AF5">
            <v>50619</v>
          </cell>
          <cell r="AG5">
            <v>50914</v>
          </cell>
          <cell r="AH5">
            <v>51648</v>
          </cell>
          <cell r="AI5">
            <v>52231</v>
          </cell>
        </row>
        <row r="6">
          <cell r="A6">
            <v>3</v>
          </cell>
          <cell r="B6" t="str">
            <v>Commercial</v>
          </cell>
          <cell r="C6"/>
          <cell r="D6">
            <v>4108.666666666667</v>
          </cell>
          <cell r="E6">
            <v>4149</v>
          </cell>
          <cell r="F6">
            <v>4173</v>
          </cell>
          <cell r="G6">
            <v>4176</v>
          </cell>
          <cell r="H6">
            <v>4155</v>
          </cell>
          <cell r="I6">
            <v>4098</v>
          </cell>
          <cell r="J6">
            <v>4061</v>
          </cell>
          <cell r="K6">
            <v>4050</v>
          </cell>
          <cell r="L6">
            <v>4052</v>
          </cell>
          <cell r="M6">
            <v>4051</v>
          </cell>
          <cell r="N6">
            <v>4048</v>
          </cell>
          <cell r="O6">
            <v>4098</v>
          </cell>
          <cell r="P6">
            <v>4193</v>
          </cell>
          <cell r="T6">
            <v>3</v>
          </cell>
          <cell r="U6" t="str">
            <v>Commercial</v>
          </cell>
          <cell r="V6">
            <v>4030</v>
          </cell>
          <cell r="W6">
            <v>48365</v>
          </cell>
          <cell r="X6">
            <v>4075</v>
          </cell>
          <cell r="Y6">
            <v>4085</v>
          </cell>
          <cell r="Z6">
            <v>4097</v>
          </cell>
          <cell r="AA6">
            <v>4084</v>
          </cell>
          <cell r="AB6">
            <v>4029</v>
          </cell>
          <cell r="AC6">
            <v>3992</v>
          </cell>
          <cell r="AD6">
            <v>3976</v>
          </cell>
          <cell r="AE6">
            <v>3964</v>
          </cell>
          <cell r="AF6">
            <v>3957</v>
          </cell>
          <cell r="AG6">
            <v>3964</v>
          </cell>
          <cell r="AH6">
            <v>4025</v>
          </cell>
          <cell r="AI6">
            <v>4117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94.583333333333329</v>
          </cell>
          <cell r="E7">
            <v>93</v>
          </cell>
          <cell r="F7">
            <v>95</v>
          </cell>
          <cell r="G7">
            <v>96</v>
          </cell>
          <cell r="H7">
            <v>94</v>
          </cell>
          <cell r="I7">
            <v>94</v>
          </cell>
          <cell r="J7">
            <v>94</v>
          </cell>
          <cell r="K7">
            <v>94</v>
          </cell>
          <cell r="L7">
            <v>94</v>
          </cell>
          <cell r="M7">
            <v>95</v>
          </cell>
          <cell r="N7">
            <v>95</v>
          </cell>
          <cell r="O7">
            <v>95</v>
          </cell>
          <cell r="P7">
            <v>96</v>
          </cell>
          <cell r="T7">
            <v>4</v>
          </cell>
          <cell r="U7" t="str">
            <v xml:space="preserve">Industrial </v>
          </cell>
          <cell r="V7">
            <v>91</v>
          </cell>
          <cell r="W7">
            <v>1094</v>
          </cell>
          <cell r="X7">
            <v>88</v>
          </cell>
          <cell r="Y7">
            <v>89</v>
          </cell>
          <cell r="Z7">
            <v>89</v>
          </cell>
          <cell r="AA7">
            <v>90</v>
          </cell>
          <cell r="AB7">
            <v>91</v>
          </cell>
          <cell r="AC7">
            <v>91</v>
          </cell>
          <cell r="AD7">
            <v>91</v>
          </cell>
          <cell r="AE7">
            <v>91</v>
          </cell>
          <cell r="AF7">
            <v>93</v>
          </cell>
          <cell r="AG7">
            <v>94</v>
          </cell>
          <cell r="AH7">
            <v>94</v>
          </cell>
          <cell r="AI7">
            <v>93</v>
          </cell>
        </row>
        <row r="8">
          <cell r="A8">
            <v>5</v>
          </cell>
          <cell r="B8" t="str">
            <v>Other</v>
          </cell>
          <cell r="C8"/>
          <cell r="D8">
            <v>15.416666666666666</v>
          </cell>
          <cell r="E8">
            <v>8</v>
          </cell>
          <cell r="F8">
            <v>12</v>
          </cell>
          <cell r="G8">
            <v>6</v>
          </cell>
          <cell r="H8">
            <v>10</v>
          </cell>
          <cell r="I8">
            <v>16</v>
          </cell>
          <cell r="J8">
            <v>22</v>
          </cell>
          <cell r="K8">
            <v>16</v>
          </cell>
          <cell r="L8">
            <v>17</v>
          </cell>
          <cell r="M8">
            <v>20</v>
          </cell>
          <cell r="N8">
            <v>20</v>
          </cell>
          <cell r="O8">
            <v>21</v>
          </cell>
          <cell r="P8">
            <v>17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56</v>
          </cell>
          <cell r="X8">
            <v>5</v>
          </cell>
          <cell r="Y8">
            <v>7</v>
          </cell>
          <cell r="Z8">
            <v>5</v>
          </cell>
          <cell r="AA8">
            <v>5</v>
          </cell>
          <cell r="AB8">
            <v>6</v>
          </cell>
          <cell r="AC8">
            <v>2</v>
          </cell>
          <cell r="AD8">
            <v>2</v>
          </cell>
          <cell r="AE8">
            <v>6</v>
          </cell>
          <cell r="AF8">
            <v>6</v>
          </cell>
          <cell r="AG8">
            <v>5</v>
          </cell>
          <cell r="AH8">
            <v>2</v>
          </cell>
          <cell r="AI8">
            <v>5</v>
          </cell>
        </row>
        <row r="9">
          <cell r="A9">
            <v>6</v>
          </cell>
          <cell r="B9" t="str">
            <v>Total customers</v>
          </cell>
          <cell r="C9"/>
          <cell r="D9">
            <v>57423.416666666664</v>
          </cell>
          <cell r="E9">
            <v>56990</v>
          </cell>
          <cell r="F9">
            <v>57220</v>
          </cell>
          <cell r="G9">
            <v>57366</v>
          </cell>
          <cell r="H9">
            <v>57266</v>
          </cell>
          <cell r="I9">
            <v>57173</v>
          </cell>
          <cell r="J9">
            <v>56939</v>
          </cell>
          <cell r="K9">
            <v>56970</v>
          </cell>
          <cell r="L9">
            <v>57071</v>
          </cell>
          <cell r="M9">
            <v>57237</v>
          </cell>
          <cell r="N9">
            <v>57427</v>
          </cell>
          <cell r="O9">
            <v>58231</v>
          </cell>
          <cell r="P9">
            <v>59191</v>
          </cell>
          <cell r="T9">
            <v>6</v>
          </cell>
          <cell r="U9" t="str">
            <v>Total customers</v>
          </cell>
          <cell r="V9">
            <v>54801</v>
          </cell>
          <cell r="W9">
            <v>657614</v>
          </cell>
          <cell r="X9">
            <v>54301</v>
          </cell>
          <cell r="Y9">
            <v>54500</v>
          </cell>
          <cell r="Z9">
            <v>54587</v>
          </cell>
          <cell r="AA9">
            <v>54665</v>
          </cell>
          <cell r="AB9">
            <v>54510</v>
          </cell>
          <cell r="AC9">
            <v>54392</v>
          </cell>
          <cell r="AD9">
            <v>54352</v>
          </cell>
          <cell r="AE9">
            <v>54440</v>
          </cell>
          <cell r="AF9">
            <v>54675</v>
          </cell>
          <cell r="AG9">
            <v>54977</v>
          </cell>
          <cell r="AH9">
            <v>55769</v>
          </cell>
          <cell r="AI9">
            <v>56446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2958061</v>
          </cell>
          <cell r="E12">
            <v>516272</v>
          </cell>
          <cell r="F12">
            <v>660551</v>
          </cell>
          <cell r="G12">
            <v>517597</v>
          </cell>
          <cell r="H12">
            <v>271811</v>
          </cell>
          <cell r="I12">
            <v>91296</v>
          </cell>
          <cell r="J12">
            <v>58790</v>
          </cell>
          <cell r="K12">
            <v>46437</v>
          </cell>
          <cell r="L12">
            <v>42742</v>
          </cell>
          <cell r="M12">
            <v>45806</v>
          </cell>
          <cell r="N12">
            <v>55610</v>
          </cell>
          <cell r="O12">
            <v>218946</v>
          </cell>
          <cell r="P12">
            <v>432203</v>
          </cell>
          <cell r="T12">
            <v>9</v>
          </cell>
          <cell r="U12" t="str">
            <v>Residential</v>
          </cell>
          <cell r="W12">
            <v>3123423</v>
          </cell>
          <cell r="X12">
            <v>703234</v>
          </cell>
          <cell r="Y12">
            <v>539169</v>
          </cell>
          <cell r="Z12">
            <v>436062</v>
          </cell>
          <cell r="AA12">
            <v>377152</v>
          </cell>
          <cell r="AB12">
            <v>138629</v>
          </cell>
          <cell r="AC12">
            <v>55888</v>
          </cell>
          <cell r="AD12">
            <v>47067</v>
          </cell>
          <cell r="AE12">
            <v>40751</v>
          </cell>
          <cell r="AF12">
            <v>43203</v>
          </cell>
          <cell r="AG12">
            <v>60708</v>
          </cell>
          <cell r="AH12">
            <v>216049</v>
          </cell>
          <cell r="AI12">
            <v>465511</v>
          </cell>
        </row>
        <row r="13">
          <cell r="A13">
            <v>10</v>
          </cell>
          <cell r="B13" t="str">
            <v>Commercial</v>
          </cell>
          <cell r="D13">
            <v>2321424</v>
          </cell>
          <cell r="E13">
            <v>350282</v>
          </cell>
          <cell r="F13">
            <v>383162</v>
          </cell>
          <cell r="G13">
            <v>335595</v>
          </cell>
          <cell r="H13">
            <v>187143</v>
          </cell>
          <cell r="I13">
            <v>112919</v>
          </cell>
          <cell r="J13">
            <v>90553</v>
          </cell>
          <cell r="K13">
            <v>79795</v>
          </cell>
          <cell r="L13">
            <v>80733</v>
          </cell>
          <cell r="M13">
            <v>85685</v>
          </cell>
          <cell r="N13">
            <v>104716</v>
          </cell>
          <cell r="O13">
            <v>195833</v>
          </cell>
          <cell r="P13">
            <v>315008</v>
          </cell>
          <cell r="T13">
            <v>10</v>
          </cell>
          <cell r="U13" t="str">
            <v>Commercial</v>
          </cell>
          <cell r="W13">
            <v>2413774</v>
          </cell>
          <cell r="X13">
            <v>469375</v>
          </cell>
          <cell r="Y13">
            <v>331447</v>
          </cell>
          <cell r="Z13">
            <v>326454</v>
          </cell>
          <cell r="AA13">
            <v>232321</v>
          </cell>
          <cell r="AB13">
            <v>114099</v>
          </cell>
          <cell r="AC13">
            <v>87388</v>
          </cell>
          <cell r="AD13">
            <v>73839</v>
          </cell>
          <cell r="AE13">
            <v>77774</v>
          </cell>
          <cell r="AF13">
            <v>76840</v>
          </cell>
          <cell r="AG13">
            <v>107166</v>
          </cell>
          <cell r="AH13">
            <v>208965</v>
          </cell>
          <cell r="AI13">
            <v>308106</v>
          </cell>
        </row>
        <row r="14">
          <cell r="A14">
            <v>11</v>
          </cell>
          <cell r="B14" t="str">
            <v xml:space="preserve">Industrial </v>
          </cell>
          <cell r="D14">
            <v>3067958</v>
          </cell>
          <cell r="E14">
            <v>301266</v>
          </cell>
          <cell r="F14">
            <v>288058</v>
          </cell>
          <cell r="G14">
            <v>301483</v>
          </cell>
          <cell r="H14">
            <v>252945</v>
          </cell>
          <cell r="I14">
            <v>240670</v>
          </cell>
          <cell r="J14">
            <v>217638</v>
          </cell>
          <cell r="K14">
            <v>217544</v>
          </cell>
          <cell r="L14">
            <v>224816</v>
          </cell>
          <cell r="M14">
            <v>249398</v>
          </cell>
          <cell r="N14">
            <v>254452</v>
          </cell>
          <cell r="O14">
            <v>251001</v>
          </cell>
          <cell r="P14">
            <v>268687</v>
          </cell>
          <cell r="T14">
            <v>11</v>
          </cell>
          <cell r="U14" t="str">
            <v xml:space="preserve">Industrial </v>
          </cell>
          <cell r="W14">
            <v>3195092</v>
          </cell>
          <cell r="X14">
            <v>321487</v>
          </cell>
          <cell r="Y14">
            <v>273049</v>
          </cell>
          <cell r="Z14">
            <v>298930</v>
          </cell>
          <cell r="AA14">
            <v>267843</v>
          </cell>
          <cell r="AB14">
            <v>245032</v>
          </cell>
          <cell r="AC14">
            <v>234419</v>
          </cell>
          <cell r="AD14">
            <v>215710</v>
          </cell>
          <cell r="AE14">
            <v>238644</v>
          </cell>
          <cell r="AF14">
            <v>231960</v>
          </cell>
          <cell r="AG14">
            <v>284945</v>
          </cell>
          <cell r="AH14">
            <v>282386</v>
          </cell>
          <cell r="AI14">
            <v>300687</v>
          </cell>
        </row>
        <row r="15">
          <cell r="A15">
            <v>12</v>
          </cell>
          <cell r="B15" t="str">
            <v>Other</v>
          </cell>
          <cell r="D15">
            <v>212140</v>
          </cell>
          <cell r="E15">
            <v>7334</v>
          </cell>
          <cell r="F15">
            <v>4776</v>
          </cell>
          <cell r="G15">
            <v>5005</v>
          </cell>
          <cell r="H15">
            <v>25476</v>
          </cell>
          <cell r="I15">
            <v>17690</v>
          </cell>
          <cell r="J15">
            <v>15036</v>
          </cell>
          <cell r="K15">
            <v>15568</v>
          </cell>
          <cell r="L15">
            <v>21009</v>
          </cell>
          <cell r="M15">
            <v>20699</v>
          </cell>
          <cell r="N15">
            <v>23848</v>
          </cell>
          <cell r="O15">
            <v>24023</v>
          </cell>
          <cell r="P15">
            <v>31676</v>
          </cell>
          <cell r="T15">
            <v>12</v>
          </cell>
          <cell r="U15" t="str">
            <v xml:space="preserve">Interruptible </v>
          </cell>
          <cell r="W15">
            <v>76915</v>
          </cell>
          <cell r="X15">
            <v>4163</v>
          </cell>
          <cell r="Y15">
            <v>3534</v>
          </cell>
          <cell r="Z15">
            <v>4268</v>
          </cell>
          <cell r="AA15">
            <v>4815</v>
          </cell>
          <cell r="AB15">
            <v>6471</v>
          </cell>
          <cell r="AC15">
            <v>5747</v>
          </cell>
          <cell r="AD15">
            <v>8393</v>
          </cell>
          <cell r="AE15">
            <v>9286</v>
          </cell>
          <cell r="AF15">
            <v>7853</v>
          </cell>
          <cell r="AG15">
            <v>8544</v>
          </cell>
          <cell r="AH15">
            <v>6734</v>
          </cell>
          <cell r="AI15">
            <v>7107</v>
          </cell>
        </row>
        <row r="16">
          <cell r="A16">
            <v>13</v>
          </cell>
          <cell r="B16" t="str">
            <v>Total Volume</v>
          </cell>
          <cell r="D16">
            <v>8559583</v>
          </cell>
          <cell r="E16">
            <v>1175154</v>
          </cell>
          <cell r="F16">
            <v>1336547</v>
          </cell>
          <cell r="G16">
            <v>1159680</v>
          </cell>
          <cell r="H16">
            <v>737375</v>
          </cell>
          <cell r="I16">
            <v>462575</v>
          </cell>
          <cell r="J16">
            <v>382017</v>
          </cell>
          <cell r="K16">
            <v>359344</v>
          </cell>
          <cell r="L16">
            <v>369300</v>
          </cell>
          <cell r="M16">
            <v>401588</v>
          </cell>
          <cell r="N16">
            <v>438626</v>
          </cell>
          <cell r="O16">
            <v>689803</v>
          </cell>
          <cell r="P16">
            <v>1047574</v>
          </cell>
          <cell r="T16">
            <v>13</v>
          </cell>
          <cell r="U16" t="str">
            <v>Total Deliveries</v>
          </cell>
          <cell r="V16"/>
          <cell r="W16">
            <v>8809204</v>
          </cell>
          <cell r="X16">
            <v>1498259</v>
          </cell>
          <cell r="Y16">
            <v>1147199</v>
          </cell>
          <cell r="Z16">
            <v>1065714</v>
          </cell>
          <cell r="AA16">
            <v>882131</v>
          </cell>
          <cell r="AB16">
            <v>504231</v>
          </cell>
          <cell r="AC16">
            <v>383442</v>
          </cell>
          <cell r="AD16">
            <v>345009</v>
          </cell>
          <cell r="AE16">
            <v>366455</v>
          </cell>
          <cell r="AF16">
            <v>359856</v>
          </cell>
          <cell r="AG16">
            <v>461363</v>
          </cell>
          <cell r="AH16">
            <v>714134</v>
          </cell>
          <cell r="AI16">
            <v>1081411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3079596</v>
          </cell>
          <cell r="E21">
            <v>539319</v>
          </cell>
          <cell r="F21">
            <v>688958</v>
          </cell>
          <cell r="G21">
            <v>539505</v>
          </cell>
          <cell r="H21">
            <v>282833</v>
          </cell>
          <cell r="I21">
            <v>94869</v>
          </cell>
          <cell r="J21">
            <v>61091</v>
          </cell>
          <cell r="K21">
            <v>48284</v>
          </cell>
          <cell r="L21">
            <v>44671</v>
          </cell>
          <cell r="M21">
            <v>47558</v>
          </cell>
          <cell r="N21">
            <v>57825</v>
          </cell>
          <cell r="O21">
            <v>227467</v>
          </cell>
          <cell r="P21">
            <v>447216</v>
          </cell>
          <cell r="T21">
            <v>18</v>
          </cell>
          <cell r="U21" t="str">
            <v>Residential</v>
          </cell>
          <cell r="W21">
            <v>2635109</v>
          </cell>
          <cell r="X21">
            <v>738224</v>
          </cell>
          <cell r="Y21">
            <v>563938</v>
          </cell>
          <cell r="Z21">
            <v>456385</v>
          </cell>
          <cell r="AA21">
            <v>393229</v>
          </cell>
          <cell r="AB21">
            <v>144551</v>
          </cell>
          <cell r="AC21">
            <v>58450</v>
          </cell>
          <cell r="AD21">
            <v>49195</v>
          </cell>
          <cell r="AE21">
            <v>42450</v>
          </cell>
          <cell r="AF21">
            <v>45128</v>
          </cell>
          <cell r="AG21">
            <v>63151</v>
          </cell>
          <cell r="AH21">
            <v>225010</v>
          </cell>
          <cell r="AI21">
            <v>485481</v>
          </cell>
        </row>
        <row r="22">
          <cell r="A22">
            <v>19</v>
          </cell>
          <cell r="B22" t="str">
            <v>Commercial</v>
          </cell>
          <cell r="D22">
            <v>2416125</v>
          </cell>
          <cell r="E22">
            <v>365919</v>
          </cell>
          <cell r="F22">
            <v>399640</v>
          </cell>
          <cell r="G22">
            <v>349800</v>
          </cell>
          <cell r="H22">
            <v>194732</v>
          </cell>
          <cell r="I22">
            <v>117338</v>
          </cell>
          <cell r="J22">
            <v>94097</v>
          </cell>
          <cell r="K22">
            <v>82968</v>
          </cell>
          <cell r="L22">
            <v>84376</v>
          </cell>
          <cell r="M22">
            <v>88962</v>
          </cell>
          <cell r="N22">
            <v>108888</v>
          </cell>
          <cell r="O22">
            <v>203455</v>
          </cell>
          <cell r="P22">
            <v>325950</v>
          </cell>
          <cell r="T22">
            <v>19</v>
          </cell>
          <cell r="U22" t="str">
            <v>Commercial</v>
          </cell>
          <cell r="W22">
            <v>2113441</v>
          </cell>
          <cell r="X22">
            <v>492729</v>
          </cell>
          <cell r="Y22">
            <v>346674</v>
          </cell>
          <cell r="Z22">
            <v>341669</v>
          </cell>
          <cell r="AA22">
            <v>242224</v>
          </cell>
          <cell r="AB22">
            <v>118973</v>
          </cell>
          <cell r="AC22">
            <v>91395</v>
          </cell>
          <cell r="AD22">
            <v>77177</v>
          </cell>
          <cell r="AE22">
            <v>81017</v>
          </cell>
          <cell r="AF22">
            <v>80264</v>
          </cell>
          <cell r="AG22">
            <v>111479</v>
          </cell>
          <cell r="AH22">
            <v>217632</v>
          </cell>
          <cell r="AI22">
            <v>321324</v>
          </cell>
        </row>
        <row r="23">
          <cell r="A23">
            <v>20</v>
          </cell>
          <cell r="B23" t="str">
            <v xml:space="preserve">Industrial </v>
          </cell>
          <cell r="D23">
            <v>3192325</v>
          </cell>
          <cell r="E23">
            <v>314715</v>
          </cell>
          <cell r="F23">
            <v>300446</v>
          </cell>
          <cell r="G23">
            <v>314244</v>
          </cell>
          <cell r="H23">
            <v>263202</v>
          </cell>
          <cell r="I23">
            <v>250089</v>
          </cell>
          <cell r="J23">
            <v>226156</v>
          </cell>
          <cell r="K23">
            <v>226196</v>
          </cell>
          <cell r="L23">
            <v>234961</v>
          </cell>
          <cell r="M23">
            <v>258937</v>
          </cell>
          <cell r="N23">
            <v>264589</v>
          </cell>
          <cell r="O23">
            <v>260770</v>
          </cell>
          <cell r="P23">
            <v>278020</v>
          </cell>
          <cell r="T23">
            <v>20</v>
          </cell>
          <cell r="U23" t="str">
            <v xml:space="preserve">Industrial </v>
          </cell>
          <cell r="W23">
            <v>3116438</v>
          </cell>
          <cell r="X23">
            <v>337483</v>
          </cell>
          <cell r="Y23">
            <v>285593</v>
          </cell>
          <cell r="Z23">
            <v>312862</v>
          </cell>
          <cell r="AA23">
            <v>279261</v>
          </cell>
          <cell r="AB23">
            <v>255500</v>
          </cell>
          <cell r="AC23">
            <v>245167</v>
          </cell>
          <cell r="AD23">
            <v>225463</v>
          </cell>
          <cell r="AE23">
            <v>248595</v>
          </cell>
          <cell r="AF23">
            <v>242296</v>
          </cell>
          <cell r="AG23">
            <v>296412</v>
          </cell>
          <cell r="AH23">
            <v>294098</v>
          </cell>
          <cell r="AI23">
            <v>313586</v>
          </cell>
        </row>
        <row r="24">
          <cell r="A24">
            <v>21</v>
          </cell>
          <cell r="B24" t="str">
            <v>Other</v>
          </cell>
          <cell r="D24">
            <v>220541</v>
          </cell>
          <cell r="E24">
            <v>7661</v>
          </cell>
          <cell r="F24">
            <v>4981</v>
          </cell>
          <cell r="G24">
            <v>5217</v>
          </cell>
          <cell r="H24">
            <v>26509</v>
          </cell>
          <cell r="I24">
            <v>18382</v>
          </cell>
          <cell r="J24">
            <v>15624</v>
          </cell>
          <cell r="K24">
            <v>16187</v>
          </cell>
          <cell r="L24">
            <v>21957</v>
          </cell>
          <cell r="M24">
            <v>21491</v>
          </cell>
          <cell r="N24">
            <v>24798</v>
          </cell>
          <cell r="O24">
            <v>24958</v>
          </cell>
          <cell r="P24">
            <v>32776</v>
          </cell>
          <cell r="T24">
            <v>21</v>
          </cell>
          <cell r="U24" t="str">
            <v xml:space="preserve">Interruptible </v>
          </cell>
          <cell r="W24">
            <v>95415</v>
          </cell>
          <cell r="X24">
            <v>4370</v>
          </cell>
          <cell r="Y24">
            <v>3696</v>
          </cell>
          <cell r="Z24">
            <v>4467</v>
          </cell>
          <cell r="AA24">
            <v>5020</v>
          </cell>
          <cell r="AB24">
            <v>6747</v>
          </cell>
          <cell r="AC24">
            <v>6010</v>
          </cell>
          <cell r="AD24">
            <v>8772</v>
          </cell>
          <cell r="AE24">
            <v>9673</v>
          </cell>
          <cell r="AF24">
            <v>8203</v>
          </cell>
          <cell r="AG24">
            <v>8888</v>
          </cell>
          <cell r="AH24">
            <v>7013</v>
          </cell>
          <cell r="AI24">
            <v>7412</v>
          </cell>
        </row>
        <row r="25">
          <cell r="A25">
            <v>22</v>
          </cell>
          <cell r="B25" t="str">
            <v>Total Volume</v>
          </cell>
          <cell r="C25"/>
          <cell r="D25">
            <v>8908587</v>
          </cell>
          <cell r="E25">
            <v>1227614</v>
          </cell>
          <cell r="F25">
            <v>1394025</v>
          </cell>
          <cell r="G25">
            <v>1208766</v>
          </cell>
          <cell r="H25">
            <v>767276</v>
          </cell>
          <cell r="I25">
            <v>480678</v>
          </cell>
          <cell r="J25">
            <v>396968</v>
          </cell>
          <cell r="K25">
            <v>373635</v>
          </cell>
          <cell r="L25">
            <v>385965</v>
          </cell>
          <cell r="M25">
            <v>416948</v>
          </cell>
          <cell r="N25">
            <v>456100</v>
          </cell>
          <cell r="O25">
            <v>716650</v>
          </cell>
          <cell r="P25">
            <v>1083962</v>
          </cell>
          <cell r="T25">
            <v>22</v>
          </cell>
          <cell r="U25" t="str">
            <v>Total Deliveries</v>
          </cell>
          <cell r="V25"/>
          <cell r="W25">
            <v>7960403</v>
          </cell>
          <cell r="X25">
            <v>1572806</v>
          </cell>
          <cell r="Y25">
            <v>1199901</v>
          </cell>
          <cell r="Z25">
            <v>1115383</v>
          </cell>
          <cell r="AA25">
            <v>919734</v>
          </cell>
          <cell r="AB25">
            <v>525771</v>
          </cell>
          <cell r="AC25">
            <v>401022</v>
          </cell>
          <cell r="AD25">
            <v>360607</v>
          </cell>
          <cell r="AE25">
            <v>381735</v>
          </cell>
          <cell r="AF25">
            <v>375891</v>
          </cell>
          <cell r="AG25">
            <v>479930</v>
          </cell>
          <cell r="AH25">
            <v>743753</v>
          </cell>
          <cell r="AI25">
            <v>1127803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57396</v>
          </cell>
          <cell r="F28">
            <v>57614</v>
          </cell>
          <cell r="G28">
            <v>57718</v>
          </cell>
          <cell r="H28">
            <v>57775</v>
          </cell>
          <cell r="I28">
            <v>57776</v>
          </cell>
          <cell r="J28">
            <v>57821</v>
          </cell>
          <cell r="K28">
            <v>57967</v>
          </cell>
          <cell r="L28">
            <v>58148</v>
          </cell>
          <cell r="M28">
            <v>58345</v>
          </cell>
          <cell r="N28">
            <v>59080</v>
          </cell>
          <cell r="O28">
            <v>59673</v>
          </cell>
          <cell r="P28">
            <v>60212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1457957</v>
          </cell>
          <cell r="F29">
            <v>1279724</v>
          </cell>
          <cell r="G29">
            <v>1147664</v>
          </cell>
          <cell r="H29">
            <v>824212</v>
          </cell>
          <cell r="I29">
            <v>527449</v>
          </cell>
          <cell r="J29">
            <v>435902</v>
          </cell>
          <cell r="K29">
            <v>347958</v>
          </cell>
          <cell r="L29">
            <v>385531</v>
          </cell>
          <cell r="M29">
            <v>438989</v>
          </cell>
          <cell r="N29">
            <v>512796</v>
          </cell>
          <cell r="O29">
            <v>672103</v>
          </cell>
          <cell r="P29">
            <v>945492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1508985.4949999999</v>
          </cell>
          <cell r="F30">
            <v>1324514.3399999999</v>
          </cell>
          <cell r="G30">
            <v>1187832.24</v>
          </cell>
          <cell r="H30">
            <v>853059.41999999993</v>
          </cell>
          <cell r="I30">
            <v>545909.71499999997</v>
          </cell>
          <cell r="J30">
            <v>451158.56999999995</v>
          </cell>
          <cell r="K30">
            <v>360136.52999999997</v>
          </cell>
          <cell r="L30">
            <v>399024.58499999996</v>
          </cell>
          <cell r="M30">
            <v>454353.61499999999</v>
          </cell>
          <cell r="N30">
            <v>530743.86</v>
          </cell>
          <cell r="O30">
            <v>695626.60499999998</v>
          </cell>
          <cell r="P30">
            <v>978584.22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52740</v>
          </cell>
          <cell r="F34">
            <v>52840</v>
          </cell>
          <cell r="G34">
            <v>52923</v>
          </cell>
          <cell r="H34">
            <v>52944</v>
          </cell>
          <cell r="I34">
            <v>52948</v>
          </cell>
          <cell r="J34">
            <v>52917</v>
          </cell>
          <cell r="K34">
            <v>52902</v>
          </cell>
          <cell r="L34">
            <v>52903</v>
          </cell>
          <cell r="M34">
            <v>52921</v>
          </cell>
          <cell r="N34">
            <v>52956</v>
          </cell>
          <cell r="O34">
            <v>53052</v>
          </cell>
          <cell r="P34">
            <v>53205</v>
          </cell>
          <cell r="T34">
            <v>31</v>
          </cell>
          <cell r="U34" t="str">
            <v>Residential</v>
          </cell>
          <cell r="V34"/>
          <cell r="W34"/>
          <cell r="X34">
            <v>50133</v>
          </cell>
          <cell r="Y34">
            <v>50226</v>
          </cell>
          <cell r="Z34">
            <v>50283</v>
          </cell>
          <cell r="AA34">
            <v>50334</v>
          </cell>
          <cell r="AB34">
            <v>50344</v>
          </cell>
          <cell r="AC34">
            <v>50338</v>
          </cell>
          <cell r="AD34">
            <v>50330</v>
          </cell>
          <cell r="AE34">
            <v>50336</v>
          </cell>
          <cell r="AF34">
            <v>50367</v>
          </cell>
          <cell r="AG34">
            <v>50422</v>
          </cell>
          <cell r="AH34">
            <v>50533</v>
          </cell>
          <cell r="AI34">
            <v>50675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4149</v>
          </cell>
          <cell r="F35">
            <v>4161</v>
          </cell>
          <cell r="G35">
            <v>4166</v>
          </cell>
          <cell r="H35">
            <v>4163</v>
          </cell>
          <cell r="I35">
            <v>4150</v>
          </cell>
          <cell r="J35">
            <v>4135</v>
          </cell>
          <cell r="K35">
            <v>4123</v>
          </cell>
          <cell r="L35">
            <v>4114</v>
          </cell>
          <cell r="M35">
            <v>4107</v>
          </cell>
          <cell r="N35">
            <v>4101</v>
          </cell>
          <cell r="O35">
            <v>4101</v>
          </cell>
          <cell r="P35">
            <v>4109</v>
          </cell>
          <cell r="T35">
            <v>32</v>
          </cell>
          <cell r="U35" t="str">
            <v>Commercial</v>
          </cell>
          <cell r="V35"/>
          <cell r="W35"/>
          <cell r="X35">
            <v>4075</v>
          </cell>
          <cell r="Y35">
            <v>4080</v>
          </cell>
          <cell r="Z35">
            <v>4086</v>
          </cell>
          <cell r="AA35">
            <v>4085</v>
          </cell>
          <cell r="AB35">
            <v>4074</v>
          </cell>
          <cell r="AC35">
            <v>4060</v>
          </cell>
          <cell r="AD35">
            <v>4048</v>
          </cell>
          <cell r="AE35">
            <v>4038</v>
          </cell>
          <cell r="AF35">
            <v>4029</v>
          </cell>
          <cell r="AG35">
            <v>4022</v>
          </cell>
          <cell r="AH35">
            <v>4023</v>
          </cell>
          <cell r="AI35">
            <v>4030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93</v>
          </cell>
          <cell r="F36">
            <v>94</v>
          </cell>
          <cell r="G36">
            <v>95</v>
          </cell>
          <cell r="H36">
            <v>95</v>
          </cell>
          <cell r="I36">
            <v>94</v>
          </cell>
          <cell r="J36">
            <v>94</v>
          </cell>
          <cell r="K36">
            <v>94</v>
          </cell>
          <cell r="L36">
            <v>94</v>
          </cell>
          <cell r="M36">
            <v>94</v>
          </cell>
          <cell r="N36">
            <v>94</v>
          </cell>
          <cell r="O36">
            <v>94</v>
          </cell>
          <cell r="P36">
            <v>95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88</v>
          </cell>
          <cell r="Y36">
            <v>89</v>
          </cell>
          <cell r="Z36">
            <v>89</v>
          </cell>
          <cell r="AA36">
            <v>89</v>
          </cell>
          <cell r="AB36">
            <v>89</v>
          </cell>
          <cell r="AC36">
            <v>90</v>
          </cell>
          <cell r="AD36">
            <v>90</v>
          </cell>
          <cell r="AE36">
            <v>90</v>
          </cell>
          <cell r="AF36">
            <v>90</v>
          </cell>
          <cell r="AG36">
            <v>91</v>
          </cell>
          <cell r="AH36">
            <v>91</v>
          </cell>
          <cell r="AI36">
            <v>91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8</v>
          </cell>
          <cell r="F37">
            <v>10</v>
          </cell>
          <cell r="G37">
            <v>9</v>
          </cell>
          <cell r="H37">
            <v>9</v>
          </cell>
          <cell r="I37">
            <v>10</v>
          </cell>
          <cell r="J37">
            <v>12</v>
          </cell>
          <cell r="K37">
            <v>13</v>
          </cell>
          <cell r="L37">
            <v>13</v>
          </cell>
          <cell r="M37">
            <v>14</v>
          </cell>
          <cell r="N37">
            <v>15</v>
          </cell>
          <cell r="O37">
            <v>15</v>
          </cell>
          <cell r="P37">
            <v>15</v>
          </cell>
          <cell r="T37">
            <v>34</v>
          </cell>
          <cell r="U37" t="str">
            <v>Other</v>
          </cell>
          <cell r="V37"/>
          <cell r="W37"/>
          <cell r="X37">
            <v>5</v>
          </cell>
          <cell r="Y37">
            <v>6</v>
          </cell>
          <cell r="Z37">
            <v>6</v>
          </cell>
          <cell r="AA37">
            <v>6</v>
          </cell>
          <cell r="AB37">
            <v>6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56990</v>
          </cell>
          <cell r="F38">
            <v>57105</v>
          </cell>
          <cell r="G38">
            <v>57193</v>
          </cell>
          <cell r="H38">
            <v>57211</v>
          </cell>
          <cell r="I38">
            <v>57202</v>
          </cell>
          <cell r="J38">
            <v>57158</v>
          </cell>
          <cell r="K38">
            <v>57132</v>
          </cell>
          <cell r="L38">
            <v>57124</v>
          </cell>
          <cell r="M38">
            <v>57136</v>
          </cell>
          <cell r="N38">
            <v>57166</v>
          </cell>
          <cell r="O38">
            <v>57262</v>
          </cell>
          <cell r="P38">
            <v>57424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54301</v>
          </cell>
          <cell r="Y38">
            <v>54401</v>
          </cell>
          <cell r="Z38">
            <v>54464</v>
          </cell>
          <cell r="AA38">
            <v>54514</v>
          </cell>
          <cell r="AB38">
            <v>54513</v>
          </cell>
          <cell r="AC38">
            <v>54493</v>
          </cell>
          <cell r="AD38">
            <v>54473</v>
          </cell>
          <cell r="AE38">
            <v>54469</v>
          </cell>
          <cell r="AF38">
            <v>54491</v>
          </cell>
          <cell r="AG38">
            <v>54540</v>
          </cell>
          <cell r="AH38">
            <v>54652</v>
          </cell>
          <cell r="AI38">
            <v>54801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516272</v>
          </cell>
          <cell r="F41">
            <v>1176823</v>
          </cell>
          <cell r="G41">
            <v>1694420</v>
          </cell>
          <cell r="H41">
            <v>1966231</v>
          </cell>
          <cell r="I41">
            <v>2057527</v>
          </cell>
          <cell r="J41">
            <v>2116317</v>
          </cell>
          <cell r="K41">
            <v>2162754</v>
          </cell>
          <cell r="L41">
            <v>2205496</v>
          </cell>
          <cell r="M41">
            <v>2251302</v>
          </cell>
          <cell r="N41">
            <v>2306912</v>
          </cell>
          <cell r="O41">
            <v>2525858</v>
          </cell>
          <cell r="P41">
            <v>2958061</v>
          </cell>
          <cell r="T41">
            <v>38</v>
          </cell>
          <cell r="U41" t="str">
            <v>Residential</v>
          </cell>
          <cell r="W41"/>
          <cell r="X41">
            <v>703234</v>
          </cell>
          <cell r="Y41">
            <v>1242403</v>
          </cell>
          <cell r="Z41">
            <v>1678465</v>
          </cell>
          <cell r="AA41">
            <v>2055617</v>
          </cell>
          <cell r="AB41">
            <v>2194246</v>
          </cell>
          <cell r="AC41">
            <v>2250134</v>
          </cell>
          <cell r="AD41">
            <v>2297201</v>
          </cell>
          <cell r="AE41">
            <v>2337952</v>
          </cell>
          <cell r="AF41">
            <v>2381155</v>
          </cell>
          <cell r="AG41">
            <v>2441863</v>
          </cell>
          <cell r="AH41">
            <v>2657912</v>
          </cell>
          <cell r="AI41">
            <v>3123423</v>
          </cell>
        </row>
        <row r="42">
          <cell r="A42">
            <v>39</v>
          </cell>
          <cell r="B42" t="str">
            <v>Commercial</v>
          </cell>
          <cell r="D42"/>
          <cell r="E42">
            <v>350282</v>
          </cell>
          <cell r="F42">
            <v>733444</v>
          </cell>
          <cell r="G42">
            <v>1069039</v>
          </cell>
          <cell r="H42">
            <v>1256182</v>
          </cell>
          <cell r="I42">
            <v>1369101</v>
          </cell>
          <cell r="J42">
            <v>1459654</v>
          </cell>
          <cell r="K42">
            <v>1539449</v>
          </cell>
          <cell r="L42">
            <v>1620182</v>
          </cell>
          <cell r="M42">
            <v>1705867</v>
          </cell>
          <cell r="N42">
            <v>1810583</v>
          </cell>
          <cell r="O42">
            <v>2006416</v>
          </cell>
          <cell r="P42">
            <v>2321424</v>
          </cell>
          <cell r="T42">
            <v>39</v>
          </cell>
          <cell r="U42" t="str">
            <v>Commercial</v>
          </cell>
          <cell r="W42"/>
          <cell r="X42">
            <v>469375</v>
          </cell>
          <cell r="Y42">
            <v>800822</v>
          </cell>
          <cell r="Z42">
            <v>1127276</v>
          </cell>
          <cell r="AA42">
            <v>1359597</v>
          </cell>
          <cell r="AB42">
            <v>1473696</v>
          </cell>
          <cell r="AC42">
            <v>1561084</v>
          </cell>
          <cell r="AD42">
            <v>1634923</v>
          </cell>
          <cell r="AE42">
            <v>1712697</v>
          </cell>
          <cell r="AF42">
            <v>1789537</v>
          </cell>
          <cell r="AG42">
            <v>1896703</v>
          </cell>
          <cell r="AH42">
            <v>2105668</v>
          </cell>
          <cell r="AI42">
            <v>2413774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301266</v>
          </cell>
          <cell r="F43">
            <v>589324</v>
          </cell>
          <cell r="G43">
            <v>890807</v>
          </cell>
          <cell r="H43">
            <v>1143752</v>
          </cell>
          <cell r="I43">
            <v>1384422</v>
          </cell>
          <cell r="J43">
            <v>1602060</v>
          </cell>
          <cell r="K43">
            <v>1819604</v>
          </cell>
          <cell r="L43">
            <v>2044420</v>
          </cell>
          <cell r="M43">
            <v>2293818</v>
          </cell>
          <cell r="N43">
            <v>2548270</v>
          </cell>
          <cell r="O43">
            <v>2799271</v>
          </cell>
          <cell r="P43">
            <v>3067958</v>
          </cell>
          <cell r="T43">
            <v>40</v>
          </cell>
          <cell r="U43" t="str">
            <v xml:space="preserve">Industrial </v>
          </cell>
          <cell r="W43"/>
          <cell r="X43">
            <v>321487</v>
          </cell>
          <cell r="Y43">
            <v>594536</v>
          </cell>
          <cell r="Z43">
            <v>893466</v>
          </cell>
          <cell r="AA43">
            <v>1161309</v>
          </cell>
          <cell r="AB43">
            <v>1406341</v>
          </cell>
          <cell r="AC43">
            <v>1640760</v>
          </cell>
          <cell r="AD43">
            <v>1856470</v>
          </cell>
          <cell r="AE43">
            <v>2095114</v>
          </cell>
          <cell r="AF43">
            <v>2327074</v>
          </cell>
          <cell r="AG43">
            <v>2612019</v>
          </cell>
          <cell r="AH43">
            <v>2894405</v>
          </cell>
          <cell r="AI43">
            <v>3195092</v>
          </cell>
        </row>
        <row r="44">
          <cell r="A44">
            <v>41</v>
          </cell>
          <cell r="B44" t="str">
            <v>Other</v>
          </cell>
          <cell r="D44"/>
          <cell r="E44">
            <v>7334</v>
          </cell>
          <cell r="F44">
            <v>12110</v>
          </cell>
          <cell r="G44">
            <v>17115</v>
          </cell>
          <cell r="H44">
            <v>42591</v>
          </cell>
          <cell r="I44">
            <v>60281</v>
          </cell>
          <cell r="J44">
            <v>75317</v>
          </cell>
          <cell r="K44">
            <v>90885</v>
          </cell>
          <cell r="L44">
            <v>111894</v>
          </cell>
          <cell r="M44">
            <v>132593</v>
          </cell>
          <cell r="N44">
            <v>156441</v>
          </cell>
          <cell r="O44">
            <v>180464</v>
          </cell>
          <cell r="P44">
            <v>212140</v>
          </cell>
          <cell r="T44">
            <v>41</v>
          </cell>
          <cell r="U44" t="str">
            <v>Other</v>
          </cell>
          <cell r="W44"/>
          <cell r="X44">
            <v>4163</v>
          </cell>
          <cell r="Y44">
            <v>7697</v>
          </cell>
          <cell r="Z44">
            <v>11965</v>
          </cell>
          <cell r="AA44">
            <v>16780</v>
          </cell>
          <cell r="AB44">
            <v>23251</v>
          </cell>
          <cell r="AC44">
            <v>28998</v>
          </cell>
          <cell r="AD44">
            <v>37391</v>
          </cell>
          <cell r="AE44">
            <v>46677</v>
          </cell>
          <cell r="AF44">
            <v>54530</v>
          </cell>
          <cell r="AG44">
            <v>63074</v>
          </cell>
          <cell r="AH44">
            <v>69808</v>
          </cell>
          <cell r="AI44">
            <v>76915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1175154</v>
          </cell>
          <cell r="F45">
            <v>2511701</v>
          </cell>
          <cell r="G45">
            <v>3671381</v>
          </cell>
          <cell r="H45">
            <v>4408756</v>
          </cell>
          <cell r="I45">
            <v>4871331</v>
          </cell>
          <cell r="J45">
            <v>5253348</v>
          </cell>
          <cell r="K45">
            <v>5612692</v>
          </cell>
          <cell r="L45">
            <v>5981992</v>
          </cell>
          <cell r="M45">
            <v>6383580</v>
          </cell>
          <cell r="N45">
            <v>6822206</v>
          </cell>
          <cell r="O45">
            <v>7512009</v>
          </cell>
          <cell r="P45">
            <v>8559583</v>
          </cell>
          <cell r="T45">
            <v>42</v>
          </cell>
          <cell r="U45" t="str">
            <v>Total Volume</v>
          </cell>
          <cell r="V45"/>
          <cell r="W45"/>
          <cell r="X45">
            <v>1498259</v>
          </cell>
          <cell r="Y45">
            <v>2645458</v>
          </cell>
          <cell r="Z45">
            <v>3711172</v>
          </cell>
          <cell r="AA45">
            <v>4593303</v>
          </cell>
          <cell r="AB45">
            <v>5097534</v>
          </cell>
          <cell r="AC45">
            <v>5480976</v>
          </cell>
          <cell r="AD45">
            <v>5825985</v>
          </cell>
          <cell r="AE45">
            <v>6192440</v>
          </cell>
          <cell r="AF45">
            <v>6552296</v>
          </cell>
          <cell r="AG45">
            <v>7013659</v>
          </cell>
          <cell r="AH45">
            <v>7727793</v>
          </cell>
          <cell r="AI45">
            <v>8809204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539319</v>
          </cell>
          <cell r="F48">
            <v>1228277</v>
          </cell>
          <cell r="G48">
            <v>1767782</v>
          </cell>
          <cell r="H48">
            <v>2050615</v>
          </cell>
          <cell r="I48">
            <v>2145484</v>
          </cell>
          <cell r="J48">
            <v>2206575</v>
          </cell>
          <cell r="K48">
            <v>2254859</v>
          </cell>
          <cell r="L48">
            <v>2299530</v>
          </cell>
          <cell r="M48">
            <v>2347088</v>
          </cell>
          <cell r="N48">
            <v>2404913</v>
          </cell>
          <cell r="O48">
            <v>2632380</v>
          </cell>
          <cell r="P48">
            <v>3079596</v>
          </cell>
          <cell r="T48">
            <v>45</v>
          </cell>
          <cell r="U48" t="str">
            <v>Residential</v>
          </cell>
          <cell r="W48"/>
          <cell r="X48">
            <v>738224</v>
          </cell>
          <cell r="Y48">
            <v>1302162</v>
          </cell>
          <cell r="Z48">
            <v>1758547</v>
          </cell>
          <cell r="AA48">
            <v>2151776</v>
          </cell>
          <cell r="AB48">
            <v>2296327</v>
          </cell>
          <cell r="AC48">
            <v>2354777</v>
          </cell>
          <cell r="AD48">
            <v>2403972</v>
          </cell>
          <cell r="AE48">
            <v>2446422</v>
          </cell>
          <cell r="AF48">
            <v>2491550</v>
          </cell>
          <cell r="AG48">
            <v>2554701</v>
          </cell>
          <cell r="AH48">
            <v>2779711</v>
          </cell>
          <cell r="AI48">
            <v>3265192</v>
          </cell>
        </row>
        <row r="49">
          <cell r="A49">
            <v>46</v>
          </cell>
          <cell r="B49" t="str">
            <v>Commercial</v>
          </cell>
          <cell r="D49"/>
          <cell r="E49">
            <v>365919</v>
          </cell>
          <cell r="F49">
            <v>765559</v>
          </cell>
          <cell r="G49">
            <v>1115359</v>
          </cell>
          <cell r="H49">
            <v>1310091</v>
          </cell>
          <cell r="I49">
            <v>1427429</v>
          </cell>
          <cell r="J49">
            <v>1521526</v>
          </cell>
          <cell r="K49">
            <v>1604494</v>
          </cell>
          <cell r="L49">
            <v>1688870</v>
          </cell>
          <cell r="M49">
            <v>1777832</v>
          </cell>
          <cell r="N49">
            <v>1886720</v>
          </cell>
          <cell r="O49">
            <v>2090175</v>
          </cell>
          <cell r="P49">
            <v>2416125</v>
          </cell>
          <cell r="T49">
            <v>46</v>
          </cell>
          <cell r="U49" t="str">
            <v>Commercial</v>
          </cell>
          <cell r="W49"/>
          <cell r="X49">
            <v>492729</v>
          </cell>
          <cell r="Y49">
            <v>839403</v>
          </cell>
          <cell r="Z49">
            <v>1181072</v>
          </cell>
          <cell r="AA49">
            <v>1423296</v>
          </cell>
          <cell r="AB49">
            <v>1542269</v>
          </cell>
          <cell r="AC49">
            <v>1633664</v>
          </cell>
          <cell r="AD49">
            <v>1710841</v>
          </cell>
          <cell r="AE49">
            <v>1791858</v>
          </cell>
          <cell r="AF49">
            <v>1872122</v>
          </cell>
          <cell r="AG49">
            <v>1983601</v>
          </cell>
          <cell r="AH49">
            <v>2201233</v>
          </cell>
          <cell r="AI49">
            <v>2522557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314715</v>
          </cell>
          <cell r="F50">
            <v>615161</v>
          </cell>
          <cell r="G50">
            <v>929405</v>
          </cell>
          <cell r="H50">
            <v>1192607</v>
          </cell>
          <cell r="I50">
            <v>1442696</v>
          </cell>
          <cell r="J50">
            <v>1668852</v>
          </cell>
          <cell r="K50">
            <v>1895048</v>
          </cell>
          <cell r="L50">
            <v>2130009</v>
          </cell>
          <cell r="M50">
            <v>2388946</v>
          </cell>
          <cell r="N50">
            <v>2653535</v>
          </cell>
          <cell r="O50">
            <v>2914305</v>
          </cell>
          <cell r="P50">
            <v>3192325</v>
          </cell>
          <cell r="T50">
            <v>47</v>
          </cell>
          <cell r="U50" t="str">
            <v xml:space="preserve">Industrial </v>
          </cell>
          <cell r="W50"/>
          <cell r="X50">
            <v>337483</v>
          </cell>
          <cell r="Y50">
            <v>623076</v>
          </cell>
          <cell r="Z50">
            <v>935938</v>
          </cell>
          <cell r="AA50">
            <v>1215199</v>
          </cell>
          <cell r="AB50">
            <v>1470699</v>
          </cell>
          <cell r="AC50">
            <v>1715866</v>
          </cell>
          <cell r="AD50">
            <v>1941329</v>
          </cell>
          <cell r="AE50">
            <v>2189924</v>
          </cell>
          <cell r="AF50">
            <v>2432220</v>
          </cell>
          <cell r="AG50">
            <v>2728632</v>
          </cell>
          <cell r="AH50">
            <v>3022730</v>
          </cell>
          <cell r="AI50">
            <v>3336316</v>
          </cell>
        </row>
        <row r="51">
          <cell r="A51">
            <v>48</v>
          </cell>
          <cell r="B51" t="str">
            <v>Other</v>
          </cell>
          <cell r="D51"/>
          <cell r="E51">
            <v>7661</v>
          </cell>
          <cell r="F51">
            <v>12642</v>
          </cell>
          <cell r="G51">
            <v>17859</v>
          </cell>
          <cell r="H51">
            <v>44368</v>
          </cell>
          <cell r="I51">
            <v>62750</v>
          </cell>
          <cell r="J51">
            <v>78374</v>
          </cell>
          <cell r="K51">
            <v>94561</v>
          </cell>
          <cell r="L51">
            <v>116518</v>
          </cell>
          <cell r="M51">
            <v>138009</v>
          </cell>
          <cell r="N51">
            <v>162807</v>
          </cell>
          <cell r="O51">
            <v>187765</v>
          </cell>
          <cell r="P51">
            <v>220541</v>
          </cell>
          <cell r="T51">
            <v>48</v>
          </cell>
          <cell r="U51" t="str">
            <v>Other</v>
          </cell>
          <cell r="W51"/>
          <cell r="X51">
            <v>4370</v>
          </cell>
          <cell r="Y51">
            <v>8066</v>
          </cell>
          <cell r="Z51">
            <v>12533</v>
          </cell>
          <cell r="AA51">
            <v>17553</v>
          </cell>
          <cell r="AB51">
            <v>24300</v>
          </cell>
          <cell r="AC51">
            <v>30310</v>
          </cell>
          <cell r="AD51">
            <v>39082</v>
          </cell>
          <cell r="AE51">
            <v>48755</v>
          </cell>
          <cell r="AF51">
            <v>56958</v>
          </cell>
          <cell r="AG51">
            <v>65846</v>
          </cell>
          <cell r="AH51">
            <v>72859</v>
          </cell>
          <cell r="AI51">
            <v>80271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1227614</v>
          </cell>
          <cell r="F52">
            <v>2621639</v>
          </cell>
          <cell r="G52">
            <v>3830405</v>
          </cell>
          <cell r="H52">
            <v>4597681</v>
          </cell>
          <cell r="I52">
            <v>5078359</v>
          </cell>
          <cell r="J52">
            <v>5475327</v>
          </cell>
          <cell r="K52">
            <v>5848962</v>
          </cell>
          <cell r="L52">
            <v>6234927</v>
          </cell>
          <cell r="M52">
            <v>6651875</v>
          </cell>
          <cell r="N52">
            <v>7107975</v>
          </cell>
          <cell r="O52">
            <v>7824625</v>
          </cell>
          <cell r="P52">
            <v>8908587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1572806</v>
          </cell>
          <cell r="Y52">
            <v>2772707</v>
          </cell>
          <cell r="Z52">
            <v>3888090</v>
          </cell>
          <cell r="AA52">
            <v>4807824</v>
          </cell>
          <cell r="AB52">
            <v>5333595</v>
          </cell>
          <cell r="AC52">
            <v>5734617</v>
          </cell>
          <cell r="AD52">
            <v>6095224</v>
          </cell>
          <cell r="AE52">
            <v>6476959</v>
          </cell>
          <cell r="AF52">
            <v>6852850</v>
          </cell>
          <cell r="AG52">
            <v>7332780</v>
          </cell>
          <cell r="AH52">
            <v>8076533</v>
          </cell>
          <cell r="AI52">
            <v>9204336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57396</v>
          </cell>
          <cell r="F55">
            <v>57505</v>
          </cell>
          <cell r="G55">
            <v>57576</v>
          </cell>
          <cell r="H55">
            <v>57626</v>
          </cell>
          <cell r="I55">
            <v>57656</v>
          </cell>
          <cell r="J55">
            <v>57683</v>
          </cell>
          <cell r="K55">
            <v>57724</v>
          </cell>
          <cell r="L55">
            <v>57777</v>
          </cell>
          <cell r="M55">
            <v>57840</v>
          </cell>
          <cell r="N55">
            <v>57964</v>
          </cell>
          <cell r="O55">
            <v>58119</v>
          </cell>
          <cell r="P55">
            <v>58294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1457957</v>
          </cell>
          <cell r="F56">
            <v>2737681</v>
          </cell>
          <cell r="G56">
            <v>3885345</v>
          </cell>
          <cell r="H56">
            <v>4709557</v>
          </cell>
          <cell r="I56">
            <v>5237006</v>
          </cell>
          <cell r="J56">
            <v>5672908</v>
          </cell>
          <cell r="K56">
            <v>6020866</v>
          </cell>
          <cell r="L56">
            <v>6406397</v>
          </cell>
          <cell r="M56">
            <v>6845386</v>
          </cell>
          <cell r="N56">
            <v>7358182</v>
          </cell>
          <cell r="O56">
            <v>8030285</v>
          </cell>
          <cell r="P56">
            <v>8975777</v>
          </cell>
        </row>
        <row r="57">
          <cell r="A57">
            <v>54</v>
          </cell>
          <cell r="B57" t="str">
            <v>Cumulative YTD Budget Volume (Dts) * 1.035</v>
          </cell>
          <cell r="E57">
            <v>1508985.4949999999</v>
          </cell>
          <cell r="F57">
            <v>2833499.835</v>
          </cell>
          <cell r="G57">
            <v>4021332.0750000002</v>
          </cell>
          <cell r="H57">
            <v>4874391.4950000001</v>
          </cell>
          <cell r="I57">
            <v>5420301.21</v>
          </cell>
          <cell r="J57">
            <v>5871459.7800000003</v>
          </cell>
          <cell r="K57">
            <v>6231596.3100000005</v>
          </cell>
          <cell r="L57">
            <v>6630620.8950000005</v>
          </cell>
          <cell r="M57">
            <v>7084974.5100000007</v>
          </cell>
          <cell r="N57">
            <v>7615718.370000001</v>
          </cell>
          <cell r="O57">
            <v>8311344.9750000015</v>
          </cell>
          <cell r="P57">
            <v>9289929.1950000022</v>
          </cell>
        </row>
      </sheetData>
      <sheetData sheetId="12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11119.083333333334</v>
          </cell>
          <cell r="E5">
            <v>11334</v>
          </cell>
          <cell r="F5">
            <v>11381</v>
          </cell>
          <cell r="G5">
            <v>11352</v>
          </cell>
          <cell r="H5">
            <v>11320</v>
          </cell>
          <cell r="I5">
            <v>11103</v>
          </cell>
          <cell r="J5">
            <v>10916</v>
          </cell>
          <cell r="K5">
            <v>10908</v>
          </cell>
          <cell r="L5">
            <v>10855</v>
          </cell>
          <cell r="M5">
            <v>10882</v>
          </cell>
          <cell r="N5">
            <v>10910</v>
          </cell>
          <cell r="O5">
            <v>11088</v>
          </cell>
          <cell r="P5">
            <v>11380</v>
          </cell>
          <cell r="T5">
            <v>2</v>
          </cell>
          <cell r="U5" t="str">
            <v>Residential</v>
          </cell>
          <cell r="V5">
            <v>11032</v>
          </cell>
          <cell r="W5">
            <v>132378</v>
          </cell>
          <cell r="X5">
            <v>11277</v>
          </cell>
          <cell r="Y5">
            <v>11332</v>
          </cell>
          <cell r="Z5">
            <v>11301</v>
          </cell>
          <cell r="AA5">
            <v>11229</v>
          </cell>
          <cell r="AB5">
            <v>11065</v>
          </cell>
          <cell r="AC5">
            <v>10853</v>
          </cell>
          <cell r="AD5">
            <v>10796</v>
          </cell>
          <cell r="AE5">
            <v>10778</v>
          </cell>
          <cell r="AF5">
            <v>10763</v>
          </cell>
          <cell r="AG5">
            <v>10775</v>
          </cell>
          <cell r="AH5">
            <v>10993</v>
          </cell>
          <cell r="AI5">
            <v>11216</v>
          </cell>
        </row>
        <row r="6">
          <cell r="A6">
            <v>3</v>
          </cell>
          <cell r="B6" t="str">
            <v>Commercial</v>
          </cell>
          <cell r="C6"/>
          <cell r="D6">
            <v>1896.75</v>
          </cell>
          <cell r="E6">
            <v>1911</v>
          </cell>
          <cell r="F6">
            <v>1918</v>
          </cell>
          <cell r="G6">
            <v>1921</v>
          </cell>
          <cell r="H6">
            <v>1907</v>
          </cell>
          <cell r="I6">
            <v>1890</v>
          </cell>
          <cell r="J6">
            <v>1880</v>
          </cell>
          <cell r="K6">
            <v>1877</v>
          </cell>
          <cell r="L6">
            <v>1879</v>
          </cell>
          <cell r="M6">
            <v>1875</v>
          </cell>
          <cell r="N6">
            <v>1881</v>
          </cell>
          <cell r="O6">
            <v>1896</v>
          </cell>
          <cell r="P6">
            <v>1926</v>
          </cell>
          <cell r="T6">
            <v>3</v>
          </cell>
          <cell r="U6" t="str">
            <v>Commercial</v>
          </cell>
          <cell r="V6">
            <v>1874</v>
          </cell>
          <cell r="W6">
            <v>22486</v>
          </cell>
          <cell r="X6">
            <v>1888</v>
          </cell>
          <cell r="Y6">
            <v>1900</v>
          </cell>
          <cell r="Z6">
            <v>1905</v>
          </cell>
          <cell r="AA6">
            <v>1901</v>
          </cell>
          <cell r="AB6">
            <v>1880</v>
          </cell>
          <cell r="AC6">
            <v>1852</v>
          </cell>
          <cell r="AD6">
            <v>1837</v>
          </cell>
          <cell r="AE6">
            <v>1852</v>
          </cell>
          <cell r="AF6">
            <v>1844</v>
          </cell>
          <cell r="AG6">
            <v>1853</v>
          </cell>
          <cell r="AH6">
            <v>1883</v>
          </cell>
          <cell r="AI6">
            <v>1891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45.583333333333336</v>
          </cell>
          <cell r="E7">
            <v>45</v>
          </cell>
          <cell r="F7">
            <v>46</v>
          </cell>
          <cell r="G7">
            <v>46</v>
          </cell>
          <cell r="H7">
            <v>47</v>
          </cell>
          <cell r="I7">
            <v>47</v>
          </cell>
          <cell r="J7">
            <v>45</v>
          </cell>
          <cell r="K7">
            <v>45</v>
          </cell>
          <cell r="L7">
            <v>45</v>
          </cell>
          <cell r="M7">
            <v>45</v>
          </cell>
          <cell r="N7">
            <v>45</v>
          </cell>
          <cell r="O7">
            <v>45</v>
          </cell>
          <cell r="P7">
            <v>46</v>
          </cell>
          <cell r="T7">
            <v>4</v>
          </cell>
          <cell r="U7" t="str">
            <v xml:space="preserve">Industrial </v>
          </cell>
          <cell r="V7">
            <v>44</v>
          </cell>
          <cell r="W7">
            <v>532</v>
          </cell>
          <cell r="X7">
            <v>44</v>
          </cell>
          <cell r="Y7">
            <v>44</v>
          </cell>
          <cell r="Z7">
            <v>44</v>
          </cell>
          <cell r="AA7">
            <v>44</v>
          </cell>
          <cell r="AB7">
            <v>44</v>
          </cell>
          <cell r="AC7">
            <v>44</v>
          </cell>
          <cell r="AD7">
            <v>48</v>
          </cell>
          <cell r="AE7">
            <v>44</v>
          </cell>
          <cell r="AF7">
            <v>44</v>
          </cell>
          <cell r="AG7">
            <v>44</v>
          </cell>
          <cell r="AH7">
            <v>44</v>
          </cell>
          <cell r="AI7">
            <v>44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/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13061.416666666668</v>
          </cell>
          <cell r="E9">
            <v>13290</v>
          </cell>
          <cell r="F9">
            <v>13345</v>
          </cell>
          <cell r="G9">
            <v>13319</v>
          </cell>
          <cell r="H9">
            <v>13274</v>
          </cell>
          <cell r="I9">
            <v>13040</v>
          </cell>
          <cell r="J9">
            <v>12841</v>
          </cell>
          <cell r="K9">
            <v>12830</v>
          </cell>
          <cell r="L9">
            <v>12779</v>
          </cell>
          <cell r="M9">
            <v>12802</v>
          </cell>
          <cell r="N9">
            <v>12836</v>
          </cell>
          <cell r="O9">
            <v>13029</v>
          </cell>
          <cell r="P9">
            <v>13352</v>
          </cell>
          <cell r="T9">
            <v>6</v>
          </cell>
          <cell r="U9" t="str">
            <v>Total customers</v>
          </cell>
          <cell r="V9">
            <v>12950</v>
          </cell>
          <cell r="W9">
            <v>155396</v>
          </cell>
          <cell r="X9">
            <v>13209</v>
          </cell>
          <cell r="Y9">
            <v>13276</v>
          </cell>
          <cell r="Z9">
            <v>13250</v>
          </cell>
          <cell r="AA9">
            <v>13174</v>
          </cell>
          <cell r="AB9">
            <v>12989</v>
          </cell>
          <cell r="AC9">
            <v>12749</v>
          </cell>
          <cell r="AD9">
            <v>12681</v>
          </cell>
          <cell r="AE9">
            <v>12674</v>
          </cell>
          <cell r="AF9">
            <v>12651</v>
          </cell>
          <cell r="AG9">
            <v>12672</v>
          </cell>
          <cell r="AH9">
            <v>12920</v>
          </cell>
          <cell r="AI9">
            <v>13151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- 2019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517026</v>
          </cell>
          <cell r="D12"/>
          <cell r="E12">
            <v>93133</v>
          </cell>
          <cell r="F12">
            <v>109372</v>
          </cell>
          <cell r="G12">
            <v>94753</v>
          </cell>
          <cell r="H12">
            <v>50208</v>
          </cell>
          <cell r="I12">
            <v>15470</v>
          </cell>
          <cell r="J12">
            <v>9690</v>
          </cell>
          <cell r="K12">
            <v>8015</v>
          </cell>
          <cell r="L12">
            <v>7530</v>
          </cell>
          <cell r="M12">
            <v>8409</v>
          </cell>
          <cell r="N12">
            <v>10158</v>
          </cell>
          <cell r="O12">
            <v>36511</v>
          </cell>
          <cell r="P12">
            <v>73777</v>
          </cell>
          <cell r="T12">
            <v>9</v>
          </cell>
          <cell r="U12" t="str">
            <v>Residential</v>
          </cell>
          <cell r="W12">
            <v>562939</v>
          </cell>
          <cell r="X12">
            <v>132506</v>
          </cell>
          <cell r="Y12">
            <v>96748</v>
          </cell>
          <cell r="Z12">
            <v>81012</v>
          </cell>
          <cell r="AA12">
            <v>70027</v>
          </cell>
          <cell r="AB12">
            <v>25704</v>
          </cell>
          <cell r="AC12">
            <v>9614</v>
          </cell>
          <cell r="AD12">
            <v>8606</v>
          </cell>
          <cell r="AE12">
            <v>7945</v>
          </cell>
          <cell r="AF12">
            <v>7970</v>
          </cell>
          <cell r="AG12">
            <v>11051</v>
          </cell>
          <cell r="AH12">
            <v>36317</v>
          </cell>
          <cell r="AI12">
            <v>75439</v>
          </cell>
        </row>
        <row r="13">
          <cell r="A13">
            <v>10</v>
          </cell>
          <cell r="B13" t="str">
            <v>Commercial</v>
          </cell>
          <cell r="C13">
            <v>1036585</v>
          </cell>
          <cell r="D13"/>
          <cell r="E13">
            <v>150035</v>
          </cell>
          <cell r="F13">
            <v>148120</v>
          </cell>
          <cell r="G13">
            <v>134246</v>
          </cell>
          <cell r="H13">
            <v>85915</v>
          </cell>
          <cell r="I13">
            <v>62023</v>
          </cell>
          <cell r="J13">
            <v>47146</v>
          </cell>
          <cell r="K13">
            <v>47510</v>
          </cell>
          <cell r="L13">
            <v>42293</v>
          </cell>
          <cell r="M13">
            <v>49291</v>
          </cell>
          <cell r="N13">
            <v>56412</v>
          </cell>
          <cell r="O13">
            <v>86133</v>
          </cell>
          <cell r="P13">
            <v>127461</v>
          </cell>
          <cell r="T13">
            <v>10</v>
          </cell>
          <cell r="U13" t="str">
            <v>Commercial</v>
          </cell>
          <cell r="W13">
            <v>869437</v>
          </cell>
          <cell r="X13">
            <v>160378</v>
          </cell>
          <cell r="Y13">
            <v>115380</v>
          </cell>
          <cell r="Z13">
            <v>113182</v>
          </cell>
          <cell r="AA13">
            <v>85235</v>
          </cell>
          <cell r="AB13">
            <v>45111</v>
          </cell>
          <cell r="AC13">
            <v>32341</v>
          </cell>
          <cell r="AD13">
            <v>30120</v>
          </cell>
          <cell r="AE13">
            <v>32649</v>
          </cell>
          <cell r="AF13">
            <v>30853</v>
          </cell>
          <cell r="AG13">
            <v>42613</v>
          </cell>
          <cell r="AH13">
            <v>73346</v>
          </cell>
          <cell r="AI13">
            <v>108229</v>
          </cell>
        </row>
        <row r="14">
          <cell r="A14">
            <v>11</v>
          </cell>
          <cell r="B14" t="str">
            <v xml:space="preserve">Industrial </v>
          </cell>
          <cell r="C14">
            <v>1772583</v>
          </cell>
          <cell r="D14"/>
          <cell r="E14">
            <v>166151</v>
          </cell>
          <cell r="F14">
            <v>152731</v>
          </cell>
          <cell r="G14">
            <v>161594</v>
          </cell>
          <cell r="H14">
            <v>140926</v>
          </cell>
          <cell r="I14">
            <v>117815</v>
          </cell>
          <cell r="J14">
            <v>124663</v>
          </cell>
          <cell r="K14">
            <v>138652</v>
          </cell>
          <cell r="L14">
            <v>142014</v>
          </cell>
          <cell r="M14">
            <v>136086</v>
          </cell>
          <cell r="N14">
            <v>168238</v>
          </cell>
          <cell r="O14">
            <v>158134</v>
          </cell>
          <cell r="P14">
            <v>165579</v>
          </cell>
          <cell r="T14">
            <v>11</v>
          </cell>
          <cell r="U14" t="str">
            <v xml:space="preserve">Industrial </v>
          </cell>
          <cell r="W14">
            <v>1893278</v>
          </cell>
          <cell r="X14">
            <v>173051</v>
          </cell>
          <cell r="Y14">
            <v>153884</v>
          </cell>
          <cell r="Z14">
            <v>169989</v>
          </cell>
          <cell r="AA14">
            <v>152998</v>
          </cell>
          <cell r="AB14">
            <v>143680</v>
          </cell>
          <cell r="AC14">
            <v>151497</v>
          </cell>
          <cell r="AD14">
            <v>134847</v>
          </cell>
          <cell r="AE14">
            <v>153262</v>
          </cell>
          <cell r="AF14">
            <v>139779</v>
          </cell>
          <cell r="AG14">
            <v>166843</v>
          </cell>
          <cell r="AH14">
            <v>176902</v>
          </cell>
          <cell r="AI14">
            <v>176546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3326194</v>
          </cell>
          <cell r="D16"/>
          <cell r="E16">
            <v>409319</v>
          </cell>
          <cell r="F16">
            <v>410223</v>
          </cell>
          <cell r="G16">
            <v>390593</v>
          </cell>
          <cell r="H16">
            <v>277049</v>
          </cell>
          <cell r="I16">
            <v>195308</v>
          </cell>
          <cell r="J16">
            <v>181499</v>
          </cell>
          <cell r="K16">
            <v>194177</v>
          </cell>
          <cell r="L16">
            <v>191837</v>
          </cell>
          <cell r="M16">
            <v>193786</v>
          </cell>
          <cell r="N16">
            <v>234808</v>
          </cell>
          <cell r="O16">
            <v>280778</v>
          </cell>
          <cell r="P16">
            <v>366817</v>
          </cell>
          <cell r="T16">
            <v>13</v>
          </cell>
          <cell r="U16" t="str">
            <v>Total Deliveries</v>
          </cell>
          <cell r="V16"/>
          <cell r="W16">
            <v>3325654</v>
          </cell>
          <cell r="X16">
            <v>465935</v>
          </cell>
          <cell r="Y16">
            <v>366012</v>
          </cell>
          <cell r="Z16">
            <v>364183</v>
          </cell>
          <cell r="AA16">
            <v>308260</v>
          </cell>
          <cell r="AB16">
            <v>214495</v>
          </cell>
          <cell r="AC16">
            <v>193452</v>
          </cell>
          <cell r="AD16">
            <v>173573</v>
          </cell>
          <cell r="AE16">
            <v>193856</v>
          </cell>
          <cell r="AF16">
            <v>178602</v>
          </cell>
          <cell r="AG16">
            <v>220507</v>
          </cell>
          <cell r="AH16">
            <v>286565</v>
          </cell>
          <cell r="AI16">
            <v>360214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538287</v>
          </cell>
          <cell r="E21">
            <v>97291</v>
          </cell>
          <cell r="F21">
            <v>114076</v>
          </cell>
          <cell r="G21">
            <v>98764</v>
          </cell>
          <cell r="H21">
            <v>52244</v>
          </cell>
          <cell r="I21">
            <v>16075</v>
          </cell>
          <cell r="J21">
            <v>10067</v>
          </cell>
          <cell r="K21">
            <v>8334</v>
          </cell>
          <cell r="L21">
            <v>7870</v>
          </cell>
          <cell r="M21">
            <v>8731</v>
          </cell>
          <cell r="N21">
            <v>10563</v>
          </cell>
          <cell r="O21">
            <v>37932</v>
          </cell>
          <cell r="P21">
            <v>76340</v>
          </cell>
          <cell r="T21">
            <v>18</v>
          </cell>
          <cell r="U21" t="str">
            <v>Residential</v>
          </cell>
          <cell r="W21">
            <v>588539</v>
          </cell>
          <cell r="X21">
            <v>139099</v>
          </cell>
          <cell r="Y21">
            <v>101193</v>
          </cell>
          <cell r="Z21">
            <v>84788</v>
          </cell>
          <cell r="AA21">
            <v>73012</v>
          </cell>
          <cell r="AB21">
            <v>26802</v>
          </cell>
          <cell r="AC21">
            <v>10055</v>
          </cell>
          <cell r="AD21">
            <v>8995</v>
          </cell>
          <cell r="AE21">
            <v>8276</v>
          </cell>
          <cell r="AF21">
            <v>8325</v>
          </cell>
          <cell r="AG21">
            <v>11496</v>
          </cell>
          <cell r="AH21">
            <v>37823</v>
          </cell>
          <cell r="AI21">
            <v>78675</v>
          </cell>
        </row>
        <row r="22">
          <cell r="A22">
            <v>19</v>
          </cell>
          <cell r="B22" t="str">
            <v>Commercial</v>
          </cell>
          <cell r="D22">
            <v>1078790</v>
          </cell>
          <cell r="E22">
            <v>156733</v>
          </cell>
          <cell r="F22">
            <v>154490</v>
          </cell>
          <cell r="G22">
            <v>139928</v>
          </cell>
          <cell r="H22">
            <v>89399</v>
          </cell>
          <cell r="I22">
            <v>64450</v>
          </cell>
          <cell r="J22">
            <v>48981</v>
          </cell>
          <cell r="K22">
            <v>49399</v>
          </cell>
          <cell r="L22">
            <v>44202</v>
          </cell>
          <cell r="M22">
            <v>51176</v>
          </cell>
          <cell r="N22">
            <v>58659</v>
          </cell>
          <cell r="O22">
            <v>89485</v>
          </cell>
          <cell r="P22">
            <v>131888</v>
          </cell>
          <cell r="T22">
            <v>19</v>
          </cell>
          <cell r="U22" t="str">
            <v>Commercial</v>
          </cell>
          <cell r="W22">
            <v>908534</v>
          </cell>
          <cell r="X22">
            <v>168358</v>
          </cell>
          <cell r="Y22">
            <v>120681</v>
          </cell>
          <cell r="Z22">
            <v>118457</v>
          </cell>
          <cell r="AA22">
            <v>88868</v>
          </cell>
          <cell r="AB22">
            <v>47038</v>
          </cell>
          <cell r="AC22">
            <v>33824</v>
          </cell>
          <cell r="AD22">
            <v>31482</v>
          </cell>
          <cell r="AE22">
            <v>34010</v>
          </cell>
          <cell r="AF22">
            <v>32228</v>
          </cell>
          <cell r="AG22">
            <v>44328</v>
          </cell>
          <cell r="AH22">
            <v>76388</v>
          </cell>
          <cell r="AI22">
            <v>112872</v>
          </cell>
        </row>
        <row r="23">
          <cell r="A23">
            <v>20</v>
          </cell>
          <cell r="B23" t="str">
            <v xml:space="preserve">Industrial </v>
          </cell>
          <cell r="D23">
            <v>1844323</v>
          </cell>
          <cell r="E23">
            <v>173568</v>
          </cell>
          <cell r="F23">
            <v>159299</v>
          </cell>
          <cell r="G23">
            <v>168434</v>
          </cell>
          <cell r="H23">
            <v>146641</v>
          </cell>
          <cell r="I23">
            <v>122426</v>
          </cell>
          <cell r="J23">
            <v>129516</v>
          </cell>
          <cell r="K23">
            <v>144166</v>
          </cell>
          <cell r="L23">
            <v>148423</v>
          </cell>
          <cell r="M23">
            <v>141291</v>
          </cell>
          <cell r="N23">
            <v>174940</v>
          </cell>
          <cell r="O23">
            <v>164289</v>
          </cell>
          <cell r="P23">
            <v>171330</v>
          </cell>
          <cell r="T23">
            <v>20</v>
          </cell>
          <cell r="U23" t="str">
            <v xml:space="preserve">Industrial </v>
          </cell>
          <cell r="W23">
            <v>1976827</v>
          </cell>
          <cell r="X23">
            <v>181661</v>
          </cell>
          <cell r="Y23">
            <v>160953</v>
          </cell>
          <cell r="Z23">
            <v>177912</v>
          </cell>
          <cell r="AA23">
            <v>159520</v>
          </cell>
          <cell r="AB23">
            <v>149818</v>
          </cell>
          <cell r="AC23">
            <v>158443</v>
          </cell>
          <cell r="AD23">
            <v>140944</v>
          </cell>
          <cell r="AE23">
            <v>159653</v>
          </cell>
          <cell r="AF23">
            <v>146007</v>
          </cell>
          <cell r="AG23">
            <v>173557</v>
          </cell>
          <cell r="AH23">
            <v>184239</v>
          </cell>
          <cell r="AI23">
            <v>184120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3461400</v>
          </cell>
          <cell r="E25">
            <v>427592</v>
          </cell>
          <cell r="F25">
            <v>427865</v>
          </cell>
          <cell r="G25">
            <v>407126</v>
          </cell>
          <cell r="H25">
            <v>288284</v>
          </cell>
          <cell r="I25">
            <v>202951</v>
          </cell>
          <cell r="J25">
            <v>188564</v>
          </cell>
          <cell r="K25">
            <v>201899</v>
          </cell>
          <cell r="L25">
            <v>200495</v>
          </cell>
          <cell r="M25">
            <v>201198</v>
          </cell>
          <cell r="N25">
            <v>244162</v>
          </cell>
          <cell r="O25">
            <v>291706</v>
          </cell>
          <cell r="P25">
            <v>379558</v>
          </cell>
          <cell r="T25">
            <v>22</v>
          </cell>
          <cell r="U25" t="str">
            <v>Total Deliveries</v>
          </cell>
          <cell r="V25"/>
          <cell r="W25">
            <v>3473900</v>
          </cell>
          <cell r="X25">
            <v>489118</v>
          </cell>
          <cell r="Y25">
            <v>382827</v>
          </cell>
          <cell r="Z25">
            <v>381157</v>
          </cell>
          <cell r="AA25">
            <v>321400</v>
          </cell>
          <cell r="AB25">
            <v>223658</v>
          </cell>
          <cell r="AC25">
            <v>202322</v>
          </cell>
          <cell r="AD25">
            <v>181421</v>
          </cell>
          <cell r="AE25">
            <v>201939</v>
          </cell>
          <cell r="AF25">
            <v>186560</v>
          </cell>
          <cell r="AG25">
            <v>229381</v>
          </cell>
          <cell r="AH25">
            <v>298450</v>
          </cell>
          <cell r="AI25">
            <v>375667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13387</v>
          </cell>
          <cell r="F28">
            <v>13399</v>
          </cell>
          <cell r="G28">
            <v>13468</v>
          </cell>
          <cell r="H28">
            <v>13431</v>
          </cell>
          <cell r="I28">
            <v>13216</v>
          </cell>
          <cell r="J28">
            <v>12780</v>
          </cell>
          <cell r="K28">
            <v>12621</v>
          </cell>
          <cell r="L28">
            <v>12618</v>
          </cell>
          <cell r="M28">
            <v>12607</v>
          </cell>
          <cell r="N28">
            <v>12708</v>
          </cell>
          <cell r="O28">
            <v>13047</v>
          </cell>
          <cell r="P28">
            <v>13459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463074.9528174763</v>
          </cell>
          <cell r="F29">
            <v>402490.27130639326</v>
          </cell>
          <cell r="G29">
            <v>390365.40412889782</v>
          </cell>
          <cell r="H29">
            <v>300498.10204675613</v>
          </cell>
          <cell r="I29">
            <v>222515.83773154736</v>
          </cell>
          <cell r="J29">
            <v>209377.60421929118</v>
          </cell>
          <cell r="K29">
            <v>176152.66692063847</v>
          </cell>
          <cell r="L29">
            <v>199235.82040601864</v>
          </cell>
          <cell r="M29">
            <v>180920.61260020602</v>
          </cell>
          <cell r="N29">
            <v>231776.42988349972</v>
          </cell>
          <cell r="O29">
            <v>295465.32806109311</v>
          </cell>
          <cell r="P29">
            <v>338395.53950218949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479282.57616608794</v>
          </cell>
          <cell r="F30">
            <v>416577.43080211699</v>
          </cell>
          <cell r="G30">
            <v>404028.19327340921</v>
          </cell>
          <cell r="H30">
            <v>311015.53561839258</v>
          </cell>
          <cell r="I30">
            <v>230303.8920521515</v>
          </cell>
          <cell r="J30">
            <v>216705.82036696636</v>
          </cell>
          <cell r="K30">
            <v>182318.0102628608</v>
          </cell>
          <cell r="L30">
            <v>206209.07412022928</v>
          </cell>
          <cell r="M30">
            <v>187252.83404121321</v>
          </cell>
          <cell r="N30">
            <v>239888.6049294222</v>
          </cell>
          <cell r="O30">
            <v>305806.61454323132</v>
          </cell>
          <cell r="P30">
            <v>350239.38338476612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11334</v>
          </cell>
          <cell r="F34">
            <v>11358</v>
          </cell>
          <cell r="G34">
            <v>11356</v>
          </cell>
          <cell r="H34">
            <v>11347</v>
          </cell>
          <cell r="I34">
            <v>11298</v>
          </cell>
          <cell r="J34">
            <v>11234</v>
          </cell>
          <cell r="K34">
            <v>11188</v>
          </cell>
          <cell r="L34">
            <v>11146</v>
          </cell>
          <cell r="M34">
            <v>11117</v>
          </cell>
          <cell r="N34">
            <v>11096</v>
          </cell>
          <cell r="O34">
            <v>11095</v>
          </cell>
          <cell r="P34">
            <v>11119</v>
          </cell>
          <cell r="T34">
            <v>31</v>
          </cell>
          <cell r="U34" t="str">
            <v>Residential</v>
          </cell>
          <cell r="V34"/>
          <cell r="W34"/>
          <cell r="X34">
            <v>11277</v>
          </cell>
          <cell r="Y34">
            <v>11305</v>
          </cell>
          <cell r="Z34">
            <v>11303</v>
          </cell>
          <cell r="AA34">
            <v>11285</v>
          </cell>
          <cell r="AB34">
            <v>11241</v>
          </cell>
          <cell r="AC34">
            <v>11176</v>
          </cell>
          <cell r="AD34">
            <v>11122</v>
          </cell>
          <cell r="AE34">
            <v>11079</v>
          </cell>
          <cell r="AF34">
            <v>11044</v>
          </cell>
          <cell r="AG34">
            <v>11017</v>
          </cell>
          <cell r="AH34">
            <v>11015</v>
          </cell>
          <cell r="AI34">
            <v>11032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1911</v>
          </cell>
          <cell r="F35">
            <v>1915</v>
          </cell>
          <cell r="G35">
            <v>1917</v>
          </cell>
          <cell r="H35">
            <v>1914</v>
          </cell>
          <cell r="I35">
            <v>1909</v>
          </cell>
          <cell r="J35">
            <v>1905</v>
          </cell>
          <cell r="K35">
            <v>1901</v>
          </cell>
          <cell r="L35">
            <v>1898</v>
          </cell>
          <cell r="M35">
            <v>1895</v>
          </cell>
          <cell r="N35">
            <v>1894</v>
          </cell>
          <cell r="O35">
            <v>1894</v>
          </cell>
          <cell r="P35">
            <v>1897</v>
          </cell>
          <cell r="T35">
            <v>32</v>
          </cell>
          <cell r="U35" t="str">
            <v>Commercial</v>
          </cell>
          <cell r="V35"/>
          <cell r="W35"/>
          <cell r="X35">
            <v>1888</v>
          </cell>
          <cell r="Y35">
            <v>1894</v>
          </cell>
          <cell r="Z35">
            <v>1898</v>
          </cell>
          <cell r="AA35">
            <v>1899</v>
          </cell>
          <cell r="AB35">
            <v>1895</v>
          </cell>
          <cell r="AC35">
            <v>1888</v>
          </cell>
          <cell r="AD35">
            <v>1880</v>
          </cell>
          <cell r="AE35">
            <v>1877</v>
          </cell>
          <cell r="AF35">
            <v>1873</v>
          </cell>
          <cell r="AG35">
            <v>1871</v>
          </cell>
          <cell r="AH35">
            <v>1872</v>
          </cell>
          <cell r="AI35">
            <v>1874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45</v>
          </cell>
          <cell r="F36">
            <v>46</v>
          </cell>
          <cell r="G36">
            <v>46</v>
          </cell>
          <cell r="H36">
            <v>46</v>
          </cell>
          <cell r="I36">
            <v>46</v>
          </cell>
          <cell r="J36">
            <v>46</v>
          </cell>
          <cell r="K36">
            <v>46</v>
          </cell>
          <cell r="L36">
            <v>46</v>
          </cell>
          <cell r="M36">
            <v>46</v>
          </cell>
          <cell r="N36">
            <v>46</v>
          </cell>
          <cell r="O36">
            <v>46</v>
          </cell>
          <cell r="P36">
            <v>46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44</v>
          </cell>
          <cell r="Y36">
            <v>44</v>
          </cell>
          <cell r="Z36">
            <v>44</v>
          </cell>
          <cell r="AA36">
            <v>44</v>
          </cell>
          <cell r="AB36">
            <v>44</v>
          </cell>
          <cell r="AC36">
            <v>44</v>
          </cell>
          <cell r="AD36">
            <v>45</v>
          </cell>
          <cell r="AE36">
            <v>45</v>
          </cell>
          <cell r="AF36">
            <v>44</v>
          </cell>
          <cell r="AG36">
            <v>44</v>
          </cell>
          <cell r="AH36">
            <v>44</v>
          </cell>
          <cell r="AI36">
            <v>44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13290</v>
          </cell>
          <cell r="F38">
            <v>13319</v>
          </cell>
          <cell r="G38">
            <v>13319</v>
          </cell>
          <cell r="H38">
            <v>13307</v>
          </cell>
          <cell r="I38">
            <v>13253</v>
          </cell>
          <cell r="J38">
            <v>13185</v>
          </cell>
          <cell r="K38">
            <v>13135</v>
          </cell>
          <cell r="L38">
            <v>13090</v>
          </cell>
          <cell r="M38">
            <v>13058</v>
          </cell>
          <cell r="N38">
            <v>13036</v>
          </cell>
          <cell r="O38">
            <v>13035</v>
          </cell>
          <cell r="P38">
            <v>13062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13209</v>
          </cell>
          <cell r="Y38">
            <v>13243</v>
          </cell>
          <cell r="Z38">
            <v>13245</v>
          </cell>
          <cell r="AA38">
            <v>13228</v>
          </cell>
          <cell r="AB38">
            <v>13180</v>
          </cell>
          <cell r="AC38">
            <v>13108</v>
          </cell>
          <cell r="AD38">
            <v>13047</v>
          </cell>
          <cell r="AE38">
            <v>13001</v>
          </cell>
          <cell r="AF38">
            <v>12961</v>
          </cell>
          <cell r="AG38">
            <v>12932</v>
          </cell>
          <cell r="AH38">
            <v>12931</v>
          </cell>
          <cell r="AI38">
            <v>12950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93133</v>
          </cell>
          <cell r="F41">
            <v>202505</v>
          </cell>
          <cell r="G41">
            <v>297258</v>
          </cell>
          <cell r="H41">
            <v>347466</v>
          </cell>
          <cell r="I41">
            <v>362936</v>
          </cell>
          <cell r="J41">
            <v>372626</v>
          </cell>
          <cell r="K41">
            <v>380641</v>
          </cell>
          <cell r="L41">
            <v>388171</v>
          </cell>
          <cell r="M41">
            <v>396580</v>
          </cell>
          <cell r="N41">
            <v>406738</v>
          </cell>
          <cell r="O41">
            <v>443249</v>
          </cell>
          <cell r="P41">
            <v>517026</v>
          </cell>
          <cell r="T41">
            <v>38</v>
          </cell>
          <cell r="U41" t="str">
            <v>Residential</v>
          </cell>
          <cell r="W41"/>
          <cell r="X41">
            <v>132506</v>
          </cell>
          <cell r="Y41">
            <v>229254</v>
          </cell>
          <cell r="Z41">
            <v>310266</v>
          </cell>
          <cell r="AA41">
            <v>380293</v>
          </cell>
          <cell r="AB41">
            <v>405997</v>
          </cell>
          <cell r="AC41">
            <v>415611</v>
          </cell>
          <cell r="AD41">
            <v>424217</v>
          </cell>
          <cell r="AE41">
            <v>432162</v>
          </cell>
          <cell r="AF41">
            <v>440132</v>
          </cell>
          <cell r="AG41">
            <v>451183</v>
          </cell>
          <cell r="AH41">
            <v>487500</v>
          </cell>
          <cell r="AI41">
            <v>562939</v>
          </cell>
        </row>
        <row r="42">
          <cell r="A42">
            <v>39</v>
          </cell>
          <cell r="B42" t="str">
            <v>Commercial</v>
          </cell>
          <cell r="D42"/>
          <cell r="E42">
            <v>150035</v>
          </cell>
          <cell r="F42">
            <v>298155</v>
          </cell>
          <cell r="G42">
            <v>432401</v>
          </cell>
          <cell r="H42">
            <v>518316</v>
          </cell>
          <cell r="I42">
            <v>580339</v>
          </cell>
          <cell r="J42">
            <v>627485</v>
          </cell>
          <cell r="K42">
            <v>674995</v>
          </cell>
          <cell r="L42">
            <v>717288</v>
          </cell>
          <cell r="M42">
            <v>766579</v>
          </cell>
          <cell r="N42">
            <v>822991</v>
          </cell>
          <cell r="O42">
            <v>909124</v>
          </cell>
          <cell r="P42">
            <v>1036585</v>
          </cell>
          <cell r="T42">
            <v>39</v>
          </cell>
          <cell r="U42" t="str">
            <v>Commercial</v>
          </cell>
          <cell r="W42"/>
          <cell r="X42">
            <v>160378</v>
          </cell>
          <cell r="Y42">
            <v>275758</v>
          </cell>
          <cell r="Z42">
            <v>388940</v>
          </cell>
          <cell r="AA42">
            <v>474175</v>
          </cell>
          <cell r="AB42">
            <v>519286</v>
          </cell>
          <cell r="AC42">
            <v>551627</v>
          </cell>
          <cell r="AD42">
            <v>581747</v>
          </cell>
          <cell r="AE42">
            <v>614396</v>
          </cell>
          <cell r="AF42">
            <v>645249</v>
          </cell>
          <cell r="AG42">
            <v>687862</v>
          </cell>
          <cell r="AH42">
            <v>761208</v>
          </cell>
          <cell r="AI42">
            <v>869437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166151</v>
          </cell>
          <cell r="F43">
            <v>318882</v>
          </cell>
          <cell r="G43">
            <v>480476</v>
          </cell>
          <cell r="H43">
            <v>621402</v>
          </cell>
          <cell r="I43">
            <v>739217</v>
          </cell>
          <cell r="J43">
            <v>863880</v>
          </cell>
          <cell r="K43">
            <v>1002532</v>
          </cell>
          <cell r="L43">
            <v>1144546</v>
          </cell>
          <cell r="M43">
            <v>1280632</v>
          </cell>
          <cell r="N43">
            <v>1448870</v>
          </cell>
          <cell r="O43">
            <v>1607004</v>
          </cell>
          <cell r="P43">
            <v>1772583</v>
          </cell>
          <cell r="T43">
            <v>40</v>
          </cell>
          <cell r="U43" t="str">
            <v xml:space="preserve">Industrial </v>
          </cell>
          <cell r="W43"/>
          <cell r="X43">
            <v>173051</v>
          </cell>
          <cell r="Y43">
            <v>326935</v>
          </cell>
          <cell r="Z43">
            <v>496924</v>
          </cell>
          <cell r="AA43">
            <v>649922</v>
          </cell>
          <cell r="AB43">
            <v>793602</v>
          </cell>
          <cell r="AC43">
            <v>945099</v>
          </cell>
          <cell r="AD43">
            <v>1079946</v>
          </cell>
          <cell r="AE43">
            <v>1233208</v>
          </cell>
          <cell r="AF43">
            <v>1372987</v>
          </cell>
          <cell r="AG43">
            <v>1539830</v>
          </cell>
          <cell r="AH43">
            <v>1716732</v>
          </cell>
          <cell r="AI43">
            <v>1893278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409319</v>
          </cell>
          <cell r="F45">
            <v>819542</v>
          </cell>
          <cell r="G45">
            <v>1210135</v>
          </cell>
          <cell r="H45">
            <v>1487184</v>
          </cell>
          <cell r="I45">
            <v>1682492</v>
          </cell>
          <cell r="J45">
            <v>1863991</v>
          </cell>
          <cell r="K45">
            <v>2058168</v>
          </cell>
          <cell r="L45">
            <v>2250005</v>
          </cell>
          <cell r="M45">
            <v>2443791</v>
          </cell>
          <cell r="N45">
            <v>2678599</v>
          </cell>
          <cell r="O45">
            <v>2959377</v>
          </cell>
          <cell r="P45">
            <v>3326194</v>
          </cell>
          <cell r="T45">
            <v>42</v>
          </cell>
          <cell r="U45" t="str">
            <v>Total Volume</v>
          </cell>
          <cell r="V45"/>
          <cell r="W45"/>
          <cell r="X45">
            <v>465935</v>
          </cell>
          <cell r="Y45">
            <v>831947</v>
          </cell>
          <cell r="Z45">
            <v>1196130</v>
          </cell>
          <cell r="AA45">
            <v>1504390</v>
          </cell>
          <cell r="AB45">
            <v>1718885</v>
          </cell>
          <cell r="AC45">
            <v>1912337</v>
          </cell>
          <cell r="AD45">
            <v>2085910</v>
          </cell>
          <cell r="AE45">
            <v>2279766</v>
          </cell>
          <cell r="AF45">
            <v>2458368</v>
          </cell>
          <cell r="AG45">
            <v>2678875</v>
          </cell>
          <cell r="AH45">
            <v>2965440</v>
          </cell>
          <cell r="AI45">
            <v>3325654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- 2018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97291</v>
          </cell>
          <cell r="F48">
            <v>211367</v>
          </cell>
          <cell r="G48">
            <v>310131</v>
          </cell>
          <cell r="H48">
            <v>362375</v>
          </cell>
          <cell r="I48">
            <v>378450</v>
          </cell>
          <cell r="J48">
            <v>388517</v>
          </cell>
          <cell r="K48">
            <v>396851</v>
          </cell>
          <cell r="L48">
            <v>404721</v>
          </cell>
          <cell r="M48">
            <v>413452</v>
          </cell>
          <cell r="N48">
            <v>424015</v>
          </cell>
          <cell r="O48">
            <v>461947</v>
          </cell>
          <cell r="P48">
            <v>538287</v>
          </cell>
          <cell r="T48">
            <v>45</v>
          </cell>
          <cell r="U48" t="str">
            <v>Residential</v>
          </cell>
          <cell r="W48"/>
          <cell r="X48">
            <v>139099</v>
          </cell>
          <cell r="Y48">
            <v>240292</v>
          </cell>
          <cell r="Z48">
            <v>325080</v>
          </cell>
          <cell r="AA48">
            <v>398092</v>
          </cell>
          <cell r="AB48">
            <v>424894</v>
          </cell>
          <cell r="AC48">
            <v>434949</v>
          </cell>
          <cell r="AD48">
            <v>443944</v>
          </cell>
          <cell r="AE48">
            <v>452220</v>
          </cell>
          <cell r="AF48">
            <v>460545</v>
          </cell>
          <cell r="AG48">
            <v>472041</v>
          </cell>
          <cell r="AH48">
            <v>509864</v>
          </cell>
          <cell r="AI48">
            <v>588539</v>
          </cell>
        </row>
        <row r="49">
          <cell r="A49">
            <v>46</v>
          </cell>
          <cell r="B49" t="str">
            <v>Commercial</v>
          </cell>
          <cell r="D49"/>
          <cell r="E49">
            <v>156733</v>
          </cell>
          <cell r="F49">
            <v>311223</v>
          </cell>
          <cell r="G49">
            <v>451151</v>
          </cell>
          <cell r="H49">
            <v>540550</v>
          </cell>
          <cell r="I49">
            <v>605000</v>
          </cell>
          <cell r="J49">
            <v>653981</v>
          </cell>
          <cell r="K49">
            <v>703380</v>
          </cell>
          <cell r="L49">
            <v>747582</v>
          </cell>
          <cell r="M49">
            <v>798758</v>
          </cell>
          <cell r="N49">
            <v>857417</v>
          </cell>
          <cell r="O49">
            <v>946902</v>
          </cell>
          <cell r="P49">
            <v>1078790</v>
          </cell>
          <cell r="T49">
            <v>46</v>
          </cell>
          <cell r="U49" t="str">
            <v>Commercial</v>
          </cell>
          <cell r="W49"/>
          <cell r="X49">
            <v>168358</v>
          </cell>
          <cell r="Y49">
            <v>289039</v>
          </cell>
          <cell r="Z49">
            <v>407496</v>
          </cell>
          <cell r="AA49">
            <v>496364</v>
          </cell>
          <cell r="AB49">
            <v>543402</v>
          </cell>
          <cell r="AC49">
            <v>577226</v>
          </cell>
          <cell r="AD49">
            <v>608708</v>
          </cell>
          <cell r="AE49">
            <v>642718</v>
          </cell>
          <cell r="AF49">
            <v>674946</v>
          </cell>
          <cell r="AG49">
            <v>719274</v>
          </cell>
          <cell r="AH49">
            <v>795662</v>
          </cell>
          <cell r="AI49">
            <v>908534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173568</v>
          </cell>
          <cell r="F50">
            <v>332867</v>
          </cell>
          <cell r="G50">
            <v>501301</v>
          </cell>
          <cell r="H50">
            <v>647942</v>
          </cell>
          <cell r="I50">
            <v>770368</v>
          </cell>
          <cell r="J50">
            <v>899884</v>
          </cell>
          <cell r="K50">
            <v>1044050</v>
          </cell>
          <cell r="L50">
            <v>1192473</v>
          </cell>
          <cell r="M50">
            <v>1333764</v>
          </cell>
          <cell r="N50">
            <v>1508704</v>
          </cell>
          <cell r="O50">
            <v>1672993</v>
          </cell>
          <cell r="P50">
            <v>1844323</v>
          </cell>
          <cell r="T50">
            <v>47</v>
          </cell>
          <cell r="U50" t="str">
            <v xml:space="preserve">Industrial </v>
          </cell>
          <cell r="W50"/>
          <cell r="X50">
            <v>181661</v>
          </cell>
          <cell r="Y50">
            <v>342614</v>
          </cell>
          <cell r="Z50">
            <v>520526</v>
          </cell>
          <cell r="AA50">
            <v>680046</v>
          </cell>
          <cell r="AB50">
            <v>829864</v>
          </cell>
          <cell r="AC50">
            <v>988307</v>
          </cell>
          <cell r="AD50">
            <v>1129251</v>
          </cell>
          <cell r="AE50">
            <v>1288904</v>
          </cell>
          <cell r="AF50">
            <v>1434911</v>
          </cell>
          <cell r="AG50">
            <v>1608468</v>
          </cell>
          <cell r="AH50">
            <v>1792707</v>
          </cell>
          <cell r="AI50">
            <v>1976827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427592</v>
          </cell>
          <cell r="F52">
            <v>855457</v>
          </cell>
          <cell r="G52">
            <v>1262583</v>
          </cell>
          <cell r="H52">
            <v>1550867</v>
          </cell>
          <cell r="I52">
            <v>1753818</v>
          </cell>
          <cell r="J52">
            <v>1942382</v>
          </cell>
          <cell r="K52">
            <v>2144281</v>
          </cell>
          <cell r="L52">
            <v>2344776</v>
          </cell>
          <cell r="M52">
            <v>2545974</v>
          </cell>
          <cell r="N52">
            <v>2790136</v>
          </cell>
          <cell r="O52">
            <v>3081842</v>
          </cell>
          <cell r="P52">
            <v>3461400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489118</v>
          </cell>
          <cell r="Y52">
            <v>871945</v>
          </cell>
          <cell r="Z52">
            <v>1253102</v>
          </cell>
          <cell r="AA52">
            <v>1574502</v>
          </cell>
          <cell r="AB52">
            <v>1798160</v>
          </cell>
          <cell r="AC52">
            <v>2000482</v>
          </cell>
          <cell r="AD52">
            <v>2181903</v>
          </cell>
          <cell r="AE52">
            <v>2383842</v>
          </cell>
          <cell r="AF52">
            <v>2570402</v>
          </cell>
          <cell r="AG52">
            <v>2799783</v>
          </cell>
          <cell r="AH52">
            <v>3098233</v>
          </cell>
          <cell r="AI52">
            <v>3473900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13387</v>
          </cell>
          <cell r="F55">
            <v>13393</v>
          </cell>
          <cell r="G55">
            <v>13418</v>
          </cell>
          <cell r="H55">
            <v>13421</v>
          </cell>
          <cell r="I55">
            <v>13380</v>
          </cell>
          <cell r="J55">
            <v>13280</v>
          </cell>
          <cell r="K55">
            <v>13186</v>
          </cell>
          <cell r="L55">
            <v>13115</v>
          </cell>
          <cell r="M55">
            <v>13059</v>
          </cell>
          <cell r="N55">
            <v>13024</v>
          </cell>
          <cell r="O55">
            <v>13026</v>
          </cell>
          <cell r="P55">
            <v>13062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463074.9528174763</v>
          </cell>
          <cell r="F56">
            <v>865565.22412386956</v>
          </cell>
          <cell r="G56">
            <v>1255930.6282527675</v>
          </cell>
          <cell r="H56">
            <v>1556428.7302995236</v>
          </cell>
          <cell r="I56">
            <v>1778944.568031071</v>
          </cell>
          <cell r="J56">
            <v>1988322.1722503621</v>
          </cell>
          <cell r="K56">
            <v>2164474.8391710008</v>
          </cell>
          <cell r="L56">
            <v>2363710.6595770195</v>
          </cell>
          <cell r="M56">
            <v>2544631.2721772254</v>
          </cell>
          <cell r="N56">
            <v>2776407.7020607251</v>
          </cell>
          <cell r="O56">
            <v>3071873.0301218182</v>
          </cell>
          <cell r="P56">
            <v>3410268.5696240077</v>
          </cell>
        </row>
        <row r="57">
          <cell r="A57">
            <v>54</v>
          </cell>
          <cell r="B57" t="str">
            <v>Cumulative YTD Budget Volume (Dts) * 1.035</v>
          </cell>
          <cell r="E57">
            <v>479282.57616608794</v>
          </cell>
          <cell r="F57">
            <v>895860.00696820486</v>
          </cell>
          <cell r="G57">
            <v>1299888.2002416141</v>
          </cell>
          <cell r="H57">
            <v>1610903.7358600067</v>
          </cell>
          <cell r="I57">
            <v>1841207.6279121581</v>
          </cell>
          <cell r="J57">
            <v>2057913.4482791245</v>
          </cell>
          <cell r="K57">
            <v>2240231.4585419851</v>
          </cell>
          <cell r="L57">
            <v>2446440.5326622142</v>
          </cell>
          <cell r="M57">
            <v>2633693.3667034274</v>
          </cell>
          <cell r="N57">
            <v>2873581.9716328494</v>
          </cell>
          <cell r="O57">
            <v>3179388.5861760806</v>
          </cell>
          <cell r="P57">
            <v>3529627.9695608467</v>
          </cell>
        </row>
      </sheetData>
      <sheetData sheetId="13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9671</v>
          </cell>
          <cell r="E5">
            <v>9687</v>
          </cell>
          <cell r="F5">
            <v>9704</v>
          </cell>
          <cell r="G5">
            <v>9701</v>
          </cell>
          <cell r="H5">
            <v>9668</v>
          </cell>
          <cell r="I5">
            <v>9632</v>
          </cell>
          <cell r="J5">
            <v>9626</v>
          </cell>
          <cell r="K5">
            <v>9649</v>
          </cell>
          <cell r="L5">
            <v>9638</v>
          </cell>
          <cell r="M5">
            <v>9639</v>
          </cell>
          <cell r="N5">
            <v>9656</v>
          </cell>
          <cell r="O5">
            <v>9699</v>
          </cell>
          <cell r="P5">
            <v>9754</v>
          </cell>
          <cell r="T5">
            <v>2</v>
          </cell>
          <cell r="U5" t="str">
            <v>Residential</v>
          </cell>
          <cell r="V5">
            <v>9615</v>
          </cell>
          <cell r="W5">
            <v>115377</v>
          </cell>
          <cell r="X5">
            <v>9631</v>
          </cell>
          <cell r="Y5">
            <v>9654</v>
          </cell>
          <cell r="Z5">
            <v>9656</v>
          </cell>
          <cell r="AA5">
            <v>9612</v>
          </cell>
          <cell r="AB5">
            <v>9588</v>
          </cell>
          <cell r="AC5">
            <v>9590</v>
          </cell>
          <cell r="AD5">
            <v>9587</v>
          </cell>
          <cell r="AE5">
            <v>9590</v>
          </cell>
          <cell r="AF5">
            <v>9590</v>
          </cell>
          <cell r="AG5">
            <v>9588</v>
          </cell>
          <cell r="AH5">
            <v>9619</v>
          </cell>
          <cell r="AI5">
            <v>9672</v>
          </cell>
        </row>
        <row r="6">
          <cell r="A6">
            <v>3</v>
          </cell>
          <cell r="B6" t="str">
            <v>Commercial</v>
          </cell>
          <cell r="C6"/>
          <cell r="D6">
            <v>1091</v>
          </cell>
          <cell r="E6">
            <v>1073</v>
          </cell>
          <cell r="F6">
            <v>1062</v>
          </cell>
          <cell r="G6">
            <v>1060</v>
          </cell>
          <cell r="H6">
            <v>1069</v>
          </cell>
          <cell r="I6">
            <v>1090</v>
          </cell>
          <cell r="J6">
            <v>1105</v>
          </cell>
          <cell r="K6">
            <v>1110</v>
          </cell>
          <cell r="L6">
            <v>1114</v>
          </cell>
          <cell r="M6">
            <v>1112</v>
          </cell>
          <cell r="N6">
            <v>1109</v>
          </cell>
          <cell r="O6">
            <v>1096</v>
          </cell>
          <cell r="P6">
            <v>1090</v>
          </cell>
          <cell r="T6">
            <v>3</v>
          </cell>
          <cell r="U6" t="str">
            <v>Commercial</v>
          </cell>
          <cell r="V6">
            <v>1075</v>
          </cell>
          <cell r="W6">
            <v>12897</v>
          </cell>
          <cell r="X6">
            <v>1041</v>
          </cell>
          <cell r="Y6">
            <v>1039</v>
          </cell>
          <cell r="Z6">
            <v>1040</v>
          </cell>
          <cell r="AA6">
            <v>1055</v>
          </cell>
          <cell r="AB6">
            <v>1084</v>
          </cell>
          <cell r="AC6">
            <v>1104</v>
          </cell>
          <cell r="AD6">
            <v>1094</v>
          </cell>
          <cell r="AE6">
            <v>1098</v>
          </cell>
          <cell r="AF6">
            <v>1098</v>
          </cell>
          <cell r="AG6">
            <v>1091</v>
          </cell>
          <cell r="AH6">
            <v>1075</v>
          </cell>
          <cell r="AI6">
            <v>1078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28</v>
          </cell>
          <cell r="E7">
            <v>24</v>
          </cell>
          <cell r="F7">
            <v>28</v>
          </cell>
          <cell r="G7">
            <v>29</v>
          </cell>
          <cell r="H7">
            <v>29</v>
          </cell>
          <cell r="I7">
            <v>28</v>
          </cell>
          <cell r="J7">
            <v>28</v>
          </cell>
          <cell r="K7">
            <v>28</v>
          </cell>
          <cell r="L7">
            <v>29</v>
          </cell>
          <cell r="M7">
            <v>29</v>
          </cell>
          <cell r="N7">
            <v>28</v>
          </cell>
          <cell r="O7">
            <v>29</v>
          </cell>
          <cell r="P7">
            <v>29</v>
          </cell>
          <cell r="T7">
            <v>4</v>
          </cell>
          <cell r="U7" t="str">
            <v xml:space="preserve">Industrial </v>
          </cell>
          <cell r="V7">
            <v>22</v>
          </cell>
          <cell r="W7">
            <v>265</v>
          </cell>
          <cell r="X7">
            <v>21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  <cell r="AC7">
            <v>20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24</v>
          </cell>
          <cell r="AI7">
            <v>24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10790</v>
          </cell>
          <cell r="E9">
            <v>10784</v>
          </cell>
          <cell r="F9">
            <v>10794</v>
          </cell>
          <cell r="G9">
            <v>10790</v>
          </cell>
          <cell r="H9">
            <v>10766</v>
          </cell>
          <cell r="I9">
            <v>10750</v>
          </cell>
          <cell r="J9">
            <v>10759</v>
          </cell>
          <cell r="K9">
            <v>10787</v>
          </cell>
          <cell r="L9">
            <v>10781</v>
          </cell>
          <cell r="M9">
            <v>10780</v>
          </cell>
          <cell r="N9">
            <v>10793</v>
          </cell>
          <cell r="O9">
            <v>10824</v>
          </cell>
          <cell r="P9">
            <v>10873</v>
          </cell>
          <cell r="T9">
            <v>6</v>
          </cell>
          <cell r="U9" t="str">
            <v>Total customers</v>
          </cell>
          <cell r="V9">
            <v>10712</v>
          </cell>
          <cell r="W9">
            <v>128539</v>
          </cell>
          <cell r="X9">
            <v>10693</v>
          </cell>
          <cell r="Y9">
            <v>10713</v>
          </cell>
          <cell r="Z9">
            <v>10716</v>
          </cell>
          <cell r="AA9">
            <v>10687</v>
          </cell>
          <cell r="AB9">
            <v>10692</v>
          </cell>
          <cell r="AC9">
            <v>10714</v>
          </cell>
          <cell r="AD9">
            <v>10705</v>
          </cell>
          <cell r="AE9">
            <v>10712</v>
          </cell>
          <cell r="AF9">
            <v>10712</v>
          </cell>
          <cell r="AG9">
            <v>10703</v>
          </cell>
          <cell r="AH9">
            <v>10718</v>
          </cell>
          <cell r="AI9">
            <v>10774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253149</v>
          </cell>
          <cell r="E12">
            <v>43114</v>
          </cell>
          <cell r="F12">
            <v>52744</v>
          </cell>
          <cell r="G12">
            <v>40689</v>
          </cell>
          <cell r="H12">
            <v>24438</v>
          </cell>
          <cell r="I12">
            <v>8416</v>
          </cell>
          <cell r="J12">
            <v>6551</v>
          </cell>
          <cell r="K12">
            <v>6128</v>
          </cell>
          <cell r="L12">
            <v>5680</v>
          </cell>
          <cell r="M12">
            <v>6012</v>
          </cell>
          <cell r="N12">
            <v>5866</v>
          </cell>
          <cell r="O12">
            <v>18995</v>
          </cell>
          <cell r="P12">
            <v>34516</v>
          </cell>
          <cell r="T12">
            <v>9</v>
          </cell>
          <cell r="U12" t="str">
            <v>Residential</v>
          </cell>
          <cell r="W12">
            <v>276425</v>
          </cell>
          <cell r="X12">
            <v>68205</v>
          </cell>
          <cell r="Y12">
            <v>46120</v>
          </cell>
          <cell r="Z12">
            <v>35438</v>
          </cell>
          <cell r="AA12">
            <v>32493</v>
          </cell>
          <cell r="AB12">
            <v>12288</v>
          </cell>
          <cell r="AC12">
            <v>6304</v>
          </cell>
          <cell r="AD12">
            <v>6225</v>
          </cell>
          <cell r="AE12">
            <v>5522</v>
          </cell>
          <cell r="AF12">
            <v>5523</v>
          </cell>
          <cell r="AG12">
            <v>5668</v>
          </cell>
          <cell r="AH12">
            <v>15745</v>
          </cell>
          <cell r="AI12">
            <v>36894</v>
          </cell>
        </row>
        <row r="13">
          <cell r="A13">
            <v>10</v>
          </cell>
          <cell r="B13" t="str">
            <v>Commercial</v>
          </cell>
          <cell r="D13">
            <v>281473</v>
          </cell>
          <cell r="E13">
            <v>26356</v>
          </cell>
          <cell r="F13">
            <v>30117</v>
          </cell>
          <cell r="G13">
            <v>26733</v>
          </cell>
          <cell r="H13">
            <v>22780</v>
          </cell>
          <cell r="I13">
            <v>17987</v>
          </cell>
          <cell r="J13">
            <v>21462</v>
          </cell>
          <cell r="K13">
            <v>26192</v>
          </cell>
          <cell r="L13">
            <v>26063</v>
          </cell>
          <cell r="M13">
            <v>26801</v>
          </cell>
          <cell r="N13">
            <v>18278</v>
          </cell>
          <cell r="O13">
            <v>16839</v>
          </cell>
          <cell r="P13">
            <v>21865</v>
          </cell>
          <cell r="T13">
            <v>10</v>
          </cell>
          <cell r="U13" t="str">
            <v>Commercial</v>
          </cell>
          <cell r="W13">
            <v>345958</v>
          </cell>
          <cell r="X13">
            <v>45386</v>
          </cell>
          <cell r="Y13">
            <v>35155</v>
          </cell>
          <cell r="Z13">
            <v>30999</v>
          </cell>
          <cell r="AA13">
            <v>32726</v>
          </cell>
          <cell r="AB13">
            <v>27114</v>
          </cell>
          <cell r="AC13">
            <v>26061</v>
          </cell>
          <cell r="AD13">
            <v>30933</v>
          </cell>
          <cell r="AE13">
            <v>27936</v>
          </cell>
          <cell r="AF13">
            <v>28301</v>
          </cell>
          <cell r="AG13">
            <v>19742</v>
          </cell>
          <cell r="AH13">
            <v>17832</v>
          </cell>
          <cell r="AI13">
            <v>23773</v>
          </cell>
        </row>
        <row r="14">
          <cell r="A14">
            <v>11</v>
          </cell>
          <cell r="B14" t="str">
            <v xml:space="preserve">Industrial </v>
          </cell>
          <cell r="D14">
            <v>321826</v>
          </cell>
          <cell r="E14">
            <v>27207</v>
          </cell>
          <cell r="F14">
            <v>23570</v>
          </cell>
          <cell r="G14">
            <v>26475</v>
          </cell>
          <cell r="H14">
            <v>27788</v>
          </cell>
          <cell r="I14">
            <v>24611</v>
          </cell>
          <cell r="J14">
            <v>22717</v>
          </cell>
          <cell r="K14">
            <v>24364</v>
          </cell>
          <cell r="L14">
            <v>25645</v>
          </cell>
          <cell r="M14">
            <v>25919</v>
          </cell>
          <cell r="N14">
            <v>27561</v>
          </cell>
          <cell r="O14">
            <v>31842</v>
          </cell>
          <cell r="P14">
            <v>34127</v>
          </cell>
          <cell r="T14">
            <v>11</v>
          </cell>
          <cell r="U14" t="str">
            <v xml:space="preserve">Industrial </v>
          </cell>
          <cell r="W14">
            <v>227005</v>
          </cell>
          <cell r="X14">
            <v>16346</v>
          </cell>
          <cell r="Y14">
            <v>15872</v>
          </cell>
          <cell r="Z14">
            <v>17977</v>
          </cell>
          <cell r="AA14">
            <v>19844</v>
          </cell>
          <cell r="AB14">
            <v>15191</v>
          </cell>
          <cell r="AC14">
            <v>23564</v>
          </cell>
          <cell r="AD14">
            <v>16504</v>
          </cell>
          <cell r="AE14">
            <v>17183</v>
          </cell>
          <cell r="AF14">
            <v>14762</v>
          </cell>
          <cell r="AG14">
            <v>21640</v>
          </cell>
          <cell r="AH14">
            <v>26835</v>
          </cell>
          <cell r="AI14">
            <v>21287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856448</v>
          </cell>
          <cell r="E16">
            <v>96677</v>
          </cell>
          <cell r="F16">
            <v>106431</v>
          </cell>
          <cell r="G16">
            <v>93897</v>
          </cell>
          <cell r="H16">
            <v>75006</v>
          </cell>
          <cell r="I16">
            <v>51014</v>
          </cell>
          <cell r="J16">
            <v>50730</v>
          </cell>
          <cell r="K16">
            <v>56684</v>
          </cell>
          <cell r="L16">
            <v>57388</v>
          </cell>
          <cell r="M16">
            <v>58732</v>
          </cell>
          <cell r="N16">
            <v>51705</v>
          </cell>
          <cell r="O16">
            <v>67676</v>
          </cell>
          <cell r="P16">
            <v>90508</v>
          </cell>
          <cell r="T16">
            <v>13</v>
          </cell>
          <cell r="U16" t="str">
            <v>Total Deliveries</v>
          </cell>
          <cell r="V16"/>
          <cell r="W16">
            <v>849388</v>
          </cell>
          <cell r="X16">
            <v>129937</v>
          </cell>
          <cell r="Y16">
            <v>97147</v>
          </cell>
          <cell r="Z16">
            <v>84414</v>
          </cell>
          <cell r="AA16">
            <v>85063</v>
          </cell>
          <cell r="AB16">
            <v>54593</v>
          </cell>
          <cell r="AC16">
            <v>55929</v>
          </cell>
          <cell r="AD16">
            <v>53662</v>
          </cell>
          <cell r="AE16">
            <v>50641</v>
          </cell>
          <cell r="AF16">
            <v>48586</v>
          </cell>
          <cell r="AG16">
            <v>47050</v>
          </cell>
          <cell r="AH16">
            <v>60412</v>
          </cell>
          <cell r="AI16">
            <v>81954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263541</v>
          </cell>
          <cell r="E21">
            <v>45039</v>
          </cell>
          <cell r="F21">
            <v>55012</v>
          </cell>
          <cell r="G21">
            <v>42411</v>
          </cell>
          <cell r="H21">
            <v>25429</v>
          </cell>
          <cell r="I21">
            <v>8745</v>
          </cell>
          <cell r="J21">
            <v>6806</v>
          </cell>
          <cell r="K21">
            <v>6372</v>
          </cell>
          <cell r="L21">
            <v>5936</v>
          </cell>
          <cell r="M21">
            <v>6242</v>
          </cell>
          <cell r="N21">
            <v>6100</v>
          </cell>
          <cell r="O21">
            <v>19734</v>
          </cell>
          <cell r="P21">
            <v>35715</v>
          </cell>
          <cell r="T21">
            <v>18</v>
          </cell>
          <cell r="U21" t="str">
            <v>Residential</v>
          </cell>
          <cell r="W21">
            <v>289010</v>
          </cell>
          <cell r="X21">
            <v>71599</v>
          </cell>
          <cell r="Y21">
            <v>48239</v>
          </cell>
          <cell r="Z21">
            <v>37090</v>
          </cell>
          <cell r="AA21">
            <v>33878</v>
          </cell>
          <cell r="AB21">
            <v>12813</v>
          </cell>
          <cell r="AC21">
            <v>6593</v>
          </cell>
          <cell r="AD21">
            <v>6506</v>
          </cell>
          <cell r="AE21">
            <v>5752</v>
          </cell>
          <cell r="AF21">
            <v>5769</v>
          </cell>
          <cell r="AG21">
            <v>5896</v>
          </cell>
          <cell r="AH21">
            <v>16398</v>
          </cell>
          <cell r="AI21">
            <v>38477</v>
          </cell>
        </row>
        <row r="22">
          <cell r="A22">
            <v>19</v>
          </cell>
          <cell r="B22" t="str">
            <v>Commercial</v>
          </cell>
          <cell r="D22">
            <v>292925</v>
          </cell>
          <cell r="E22">
            <v>27533</v>
          </cell>
          <cell r="F22">
            <v>31412</v>
          </cell>
          <cell r="G22">
            <v>27865</v>
          </cell>
          <cell r="H22">
            <v>23704</v>
          </cell>
          <cell r="I22">
            <v>18691</v>
          </cell>
          <cell r="J22">
            <v>22297</v>
          </cell>
          <cell r="K22">
            <v>27234</v>
          </cell>
          <cell r="L22">
            <v>27239</v>
          </cell>
          <cell r="M22">
            <v>27826</v>
          </cell>
          <cell r="N22">
            <v>19006</v>
          </cell>
          <cell r="O22">
            <v>17494</v>
          </cell>
          <cell r="P22">
            <v>22624</v>
          </cell>
          <cell r="T22">
            <v>19</v>
          </cell>
          <cell r="U22" t="str">
            <v>Commercial</v>
          </cell>
          <cell r="W22">
            <v>361403</v>
          </cell>
          <cell r="X22">
            <v>47644</v>
          </cell>
          <cell r="Y22">
            <v>36770</v>
          </cell>
          <cell r="Z22">
            <v>32444</v>
          </cell>
          <cell r="AA22">
            <v>34121</v>
          </cell>
          <cell r="AB22">
            <v>28272</v>
          </cell>
          <cell r="AC22">
            <v>27256</v>
          </cell>
          <cell r="AD22">
            <v>32332</v>
          </cell>
          <cell r="AE22">
            <v>29101</v>
          </cell>
          <cell r="AF22">
            <v>29562</v>
          </cell>
          <cell r="AG22">
            <v>20536</v>
          </cell>
          <cell r="AH22">
            <v>18572</v>
          </cell>
          <cell r="AI22">
            <v>24793</v>
          </cell>
        </row>
        <row r="23">
          <cell r="A23">
            <v>20</v>
          </cell>
          <cell r="B23" t="str">
            <v xml:space="preserve">Industrial </v>
          </cell>
          <cell r="D23">
            <v>334789</v>
          </cell>
          <cell r="E23">
            <v>28422</v>
          </cell>
          <cell r="F23">
            <v>24584</v>
          </cell>
          <cell r="G23">
            <v>27596</v>
          </cell>
          <cell r="H23">
            <v>28915</v>
          </cell>
          <cell r="I23">
            <v>25574</v>
          </cell>
          <cell r="J23">
            <v>23601</v>
          </cell>
          <cell r="K23">
            <v>25333</v>
          </cell>
          <cell r="L23">
            <v>26802</v>
          </cell>
          <cell r="M23">
            <v>26910</v>
          </cell>
          <cell r="N23">
            <v>28659</v>
          </cell>
          <cell r="O23">
            <v>33081</v>
          </cell>
          <cell r="P23">
            <v>35312</v>
          </cell>
          <cell r="T23">
            <v>20</v>
          </cell>
          <cell r="U23" t="str">
            <v xml:space="preserve">Industrial </v>
          </cell>
          <cell r="W23">
            <v>236977</v>
          </cell>
          <cell r="X23">
            <v>17159</v>
          </cell>
          <cell r="Y23">
            <v>16601</v>
          </cell>
          <cell r="Z23">
            <v>18815</v>
          </cell>
          <cell r="AA23">
            <v>20690</v>
          </cell>
          <cell r="AB23">
            <v>15840</v>
          </cell>
          <cell r="AC23">
            <v>24644</v>
          </cell>
          <cell r="AD23">
            <v>17250</v>
          </cell>
          <cell r="AE23">
            <v>17899</v>
          </cell>
          <cell r="AF23">
            <v>15420</v>
          </cell>
          <cell r="AG23">
            <v>22511</v>
          </cell>
          <cell r="AH23">
            <v>27948</v>
          </cell>
          <cell r="AI23">
            <v>22200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891255</v>
          </cell>
          <cell r="E25">
            <v>100994</v>
          </cell>
          <cell r="F25">
            <v>111008</v>
          </cell>
          <cell r="G25">
            <v>97872</v>
          </cell>
          <cell r="H25">
            <v>78048</v>
          </cell>
          <cell r="I25">
            <v>53010</v>
          </cell>
          <cell r="J25">
            <v>52704</v>
          </cell>
          <cell r="K25">
            <v>58939</v>
          </cell>
          <cell r="L25">
            <v>59977</v>
          </cell>
          <cell r="M25">
            <v>60978</v>
          </cell>
          <cell r="N25">
            <v>53765</v>
          </cell>
          <cell r="O25">
            <v>70309</v>
          </cell>
          <cell r="P25">
            <v>93651</v>
          </cell>
          <cell r="T25">
            <v>22</v>
          </cell>
          <cell r="U25" t="str">
            <v>Total Deliveries</v>
          </cell>
          <cell r="V25"/>
          <cell r="W25">
            <v>887390</v>
          </cell>
          <cell r="X25">
            <v>136402</v>
          </cell>
          <cell r="Y25">
            <v>101610</v>
          </cell>
          <cell r="Z25">
            <v>88349</v>
          </cell>
          <cell r="AA25">
            <v>88689</v>
          </cell>
          <cell r="AB25">
            <v>56925</v>
          </cell>
          <cell r="AC25">
            <v>58493</v>
          </cell>
          <cell r="AD25">
            <v>56088</v>
          </cell>
          <cell r="AE25">
            <v>52752</v>
          </cell>
          <cell r="AF25">
            <v>50751</v>
          </cell>
          <cell r="AG25">
            <v>48943</v>
          </cell>
          <cell r="AH25">
            <v>62918</v>
          </cell>
          <cell r="AI25">
            <v>85470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10970</v>
          </cell>
          <cell r="F28">
            <v>11046</v>
          </cell>
          <cell r="G28">
            <v>11090</v>
          </cell>
          <cell r="H28">
            <v>11152</v>
          </cell>
          <cell r="I28">
            <v>11202</v>
          </cell>
          <cell r="J28">
            <v>10304</v>
          </cell>
          <cell r="K28">
            <v>10597</v>
          </cell>
          <cell r="L28">
            <v>10697</v>
          </cell>
          <cell r="M28">
            <v>10775</v>
          </cell>
          <cell r="N28">
            <v>10867</v>
          </cell>
          <cell r="O28">
            <v>10946</v>
          </cell>
          <cell r="P28">
            <v>11078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131161.70336933911</v>
          </cell>
          <cell r="F29">
            <v>113204.4892639867</v>
          </cell>
          <cell r="G29">
            <v>98994.493832648266</v>
          </cell>
          <cell r="H29">
            <v>86662.701071889722</v>
          </cell>
          <cell r="I29">
            <v>60395.257544803855</v>
          </cell>
          <cell r="J29">
            <v>56272.47640375777</v>
          </cell>
          <cell r="K29">
            <v>60394.360305884591</v>
          </cell>
          <cell r="L29">
            <v>57016.204725909331</v>
          </cell>
          <cell r="M29">
            <v>60397.374601218013</v>
          </cell>
          <cell r="N29">
            <v>58890.058874441638</v>
          </cell>
          <cell r="O29">
            <v>66949.02573420605</v>
          </cell>
          <cell r="P29">
            <v>81682.338248232452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135752.36298726598</v>
          </cell>
          <cell r="F30">
            <v>117166.64638822623</v>
          </cell>
          <cell r="G30">
            <v>102459.30111679094</v>
          </cell>
          <cell r="H30">
            <v>89695.895609405852</v>
          </cell>
          <cell r="I30">
            <v>62509.091558871987</v>
          </cell>
          <cell r="J30">
            <v>58242.013077889285</v>
          </cell>
          <cell r="K30">
            <v>62508.162916590547</v>
          </cell>
          <cell r="L30">
            <v>59011.771891316152</v>
          </cell>
          <cell r="M30">
            <v>62511.28271226064</v>
          </cell>
          <cell r="N30">
            <v>60951.210935047093</v>
          </cell>
          <cell r="O30">
            <v>69292.241634903257</v>
          </cell>
          <cell r="P30">
            <v>84541.220086920584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9687</v>
          </cell>
          <cell r="F34">
            <v>9696</v>
          </cell>
          <cell r="G34">
            <v>9697</v>
          </cell>
          <cell r="H34">
            <v>9690</v>
          </cell>
          <cell r="I34">
            <v>9678</v>
          </cell>
          <cell r="J34">
            <v>9670</v>
          </cell>
          <cell r="K34">
            <v>9667</v>
          </cell>
          <cell r="L34">
            <v>9663</v>
          </cell>
          <cell r="M34">
            <v>9660</v>
          </cell>
          <cell r="N34">
            <v>9660</v>
          </cell>
          <cell r="O34">
            <v>9664</v>
          </cell>
          <cell r="P34">
            <v>9671</v>
          </cell>
          <cell r="T34">
            <v>31</v>
          </cell>
          <cell r="U34" t="str">
            <v>Residential</v>
          </cell>
          <cell r="V34"/>
          <cell r="W34"/>
          <cell r="X34">
            <v>9631</v>
          </cell>
          <cell r="Y34">
            <v>9643</v>
          </cell>
          <cell r="Z34">
            <v>9647</v>
          </cell>
          <cell r="AA34">
            <v>9638</v>
          </cell>
          <cell r="AB34">
            <v>9628</v>
          </cell>
          <cell r="AC34">
            <v>9622</v>
          </cell>
          <cell r="AD34">
            <v>9617</v>
          </cell>
          <cell r="AE34">
            <v>9614</v>
          </cell>
          <cell r="AF34">
            <v>9611</v>
          </cell>
          <cell r="AG34">
            <v>9609</v>
          </cell>
          <cell r="AH34">
            <v>9610</v>
          </cell>
          <cell r="AI34">
            <v>9615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1073</v>
          </cell>
          <cell r="F35">
            <v>1068</v>
          </cell>
          <cell r="G35">
            <v>1065</v>
          </cell>
          <cell r="H35">
            <v>1066</v>
          </cell>
          <cell r="I35">
            <v>1071</v>
          </cell>
          <cell r="J35">
            <v>1077</v>
          </cell>
          <cell r="K35">
            <v>1081</v>
          </cell>
          <cell r="L35">
            <v>1085</v>
          </cell>
          <cell r="M35">
            <v>1088</v>
          </cell>
          <cell r="N35">
            <v>1090</v>
          </cell>
          <cell r="O35">
            <v>1091</v>
          </cell>
          <cell r="P35">
            <v>1091</v>
          </cell>
          <cell r="T35">
            <v>32</v>
          </cell>
          <cell r="U35" t="str">
            <v>Commercial</v>
          </cell>
          <cell r="V35"/>
          <cell r="W35"/>
          <cell r="X35">
            <v>1041</v>
          </cell>
          <cell r="Y35">
            <v>1040</v>
          </cell>
          <cell r="Z35">
            <v>1040</v>
          </cell>
          <cell r="AA35">
            <v>1044</v>
          </cell>
          <cell r="AB35">
            <v>1052</v>
          </cell>
          <cell r="AC35">
            <v>1061</v>
          </cell>
          <cell r="AD35">
            <v>1065</v>
          </cell>
          <cell r="AE35">
            <v>1069</v>
          </cell>
          <cell r="AF35">
            <v>1073</v>
          </cell>
          <cell r="AG35">
            <v>1074</v>
          </cell>
          <cell r="AH35">
            <v>1074</v>
          </cell>
          <cell r="AI35">
            <v>1075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24</v>
          </cell>
          <cell r="F36">
            <v>26</v>
          </cell>
          <cell r="G36">
            <v>27</v>
          </cell>
          <cell r="H36">
            <v>28</v>
          </cell>
          <cell r="I36">
            <v>28</v>
          </cell>
          <cell r="J36">
            <v>28</v>
          </cell>
          <cell r="K36">
            <v>28</v>
          </cell>
          <cell r="L36">
            <v>28</v>
          </cell>
          <cell r="M36">
            <v>28</v>
          </cell>
          <cell r="N36">
            <v>28</v>
          </cell>
          <cell r="O36">
            <v>28</v>
          </cell>
          <cell r="P36">
            <v>28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21</v>
          </cell>
          <cell r="Y36">
            <v>21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21</v>
          </cell>
          <cell r="AE36">
            <v>21</v>
          </cell>
          <cell r="AF36">
            <v>21</v>
          </cell>
          <cell r="AG36">
            <v>22</v>
          </cell>
          <cell r="AH36">
            <v>22</v>
          </cell>
          <cell r="AI36">
            <v>22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10784</v>
          </cell>
          <cell r="F38">
            <v>10790</v>
          </cell>
          <cell r="G38">
            <v>10789</v>
          </cell>
          <cell r="H38">
            <v>10784</v>
          </cell>
          <cell r="I38">
            <v>10777</v>
          </cell>
          <cell r="J38">
            <v>10775</v>
          </cell>
          <cell r="K38">
            <v>10776</v>
          </cell>
          <cell r="L38">
            <v>10776</v>
          </cell>
          <cell r="M38">
            <v>10776</v>
          </cell>
          <cell r="N38">
            <v>10778</v>
          </cell>
          <cell r="O38">
            <v>10783</v>
          </cell>
          <cell r="P38">
            <v>10790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10693</v>
          </cell>
          <cell r="Y38">
            <v>10704</v>
          </cell>
          <cell r="Z38">
            <v>10707</v>
          </cell>
          <cell r="AA38">
            <v>10702</v>
          </cell>
          <cell r="AB38">
            <v>10700</v>
          </cell>
          <cell r="AC38">
            <v>10703</v>
          </cell>
          <cell r="AD38">
            <v>10703</v>
          </cell>
          <cell r="AE38">
            <v>10704</v>
          </cell>
          <cell r="AF38">
            <v>10705</v>
          </cell>
          <cell r="AG38">
            <v>10705</v>
          </cell>
          <cell r="AH38">
            <v>10706</v>
          </cell>
          <cell r="AI38">
            <v>10712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43114</v>
          </cell>
          <cell r="F41">
            <v>95858</v>
          </cell>
          <cell r="G41">
            <v>136547</v>
          </cell>
          <cell r="H41">
            <v>160985</v>
          </cell>
          <cell r="I41">
            <v>169401</v>
          </cell>
          <cell r="J41">
            <v>175952</v>
          </cell>
          <cell r="K41">
            <v>182080</v>
          </cell>
          <cell r="L41">
            <v>187760</v>
          </cell>
          <cell r="M41">
            <v>193772</v>
          </cell>
          <cell r="N41">
            <v>199638</v>
          </cell>
          <cell r="O41">
            <v>218633</v>
          </cell>
          <cell r="P41">
            <v>253149</v>
          </cell>
          <cell r="T41">
            <v>38</v>
          </cell>
          <cell r="U41" t="str">
            <v>Residential</v>
          </cell>
          <cell r="W41"/>
          <cell r="X41">
            <v>68205</v>
          </cell>
          <cell r="Y41">
            <v>114325</v>
          </cell>
          <cell r="Z41">
            <v>149763</v>
          </cell>
          <cell r="AA41">
            <v>182256</v>
          </cell>
          <cell r="AB41">
            <v>194544</v>
          </cell>
          <cell r="AC41">
            <v>200848</v>
          </cell>
          <cell r="AD41">
            <v>207073</v>
          </cell>
          <cell r="AE41">
            <v>212595</v>
          </cell>
          <cell r="AF41">
            <v>218118</v>
          </cell>
          <cell r="AG41">
            <v>223786</v>
          </cell>
          <cell r="AH41">
            <v>239531</v>
          </cell>
          <cell r="AI41">
            <v>276425</v>
          </cell>
        </row>
        <row r="42">
          <cell r="A42">
            <v>39</v>
          </cell>
          <cell r="B42" t="str">
            <v>Commercial</v>
          </cell>
          <cell r="D42"/>
          <cell r="E42">
            <v>26356</v>
          </cell>
          <cell r="F42">
            <v>56473</v>
          </cell>
          <cell r="G42">
            <v>83206</v>
          </cell>
          <cell r="H42">
            <v>105986</v>
          </cell>
          <cell r="I42">
            <v>123973</v>
          </cell>
          <cell r="J42">
            <v>145435</v>
          </cell>
          <cell r="K42">
            <v>171627</v>
          </cell>
          <cell r="L42">
            <v>197690</v>
          </cell>
          <cell r="M42">
            <v>224491</v>
          </cell>
          <cell r="N42">
            <v>242769</v>
          </cell>
          <cell r="O42">
            <v>259608</v>
          </cell>
          <cell r="P42">
            <v>281473</v>
          </cell>
          <cell r="T42">
            <v>39</v>
          </cell>
          <cell r="U42" t="str">
            <v>Commercial</v>
          </cell>
          <cell r="W42"/>
          <cell r="X42">
            <v>45386</v>
          </cell>
          <cell r="Y42">
            <v>80541</v>
          </cell>
          <cell r="Z42">
            <v>111540</v>
          </cell>
          <cell r="AA42">
            <v>144266</v>
          </cell>
          <cell r="AB42">
            <v>171380</v>
          </cell>
          <cell r="AC42">
            <v>197441</v>
          </cell>
          <cell r="AD42">
            <v>228374</v>
          </cell>
          <cell r="AE42">
            <v>256310</v>
          </cell>
          <cell r="AF42">
            <v>284611</v>
          </cell>
          <cell r="AG42">
            <v>304353</v>
          </cell>
          <cell r="AH42">
            <v>322185</v>
          </cell>
          <cell r="AI42">
            <v>345958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27207</v>
          </cell>
          <cell r="F43">
            <v>50777</v>
          </cell>
          <cell r="G43">
            <v>77252</v>
          </cell>
          <cell r="H43">
            <v>105040</v>
          </cell>
          <cell r="I43">
            <v>129651</v>
          </cell>
          <cell r="J43">
            <v>152368</v>
          </cell>
          <cell r="K43">
            <v>176732</v>
          </cell>
          <cell r="L43">
            <v>202377</v>
          </cell>
          <cell r="M43">
            <v>228296</v>
          </cell>
          <cell r="N43">
            <v>255857</v>
          </cell>
          <cell r="O43">
            <v>287699</v>
          </cell>
          <cell r="P43">
            <v>321826</v>
          </cell>
          <cell r="T43">
            <v>40</v>
          </cell>
          <cell r="U43" t="str">
            <v xml:space="preserve">Industrial </v>
          </cell>
          <cell r="W43"/>
          <cell r="X43">
            <v>16346</v>
          </cell>
          <cell r="Y43">
            <v>32218</v>
          </cell>
          <cell r="Z43">
            <v>50195</v>
          </cell>
          <cell r="AA43">
            <v>70039</v>
          </cell>
          <cell r="AB43">
            <v>85230</v>
          </cell>
          <cell r="AC43">
            <v>108794</v>
          </cell>
          <cell r="AD43">
            <v>125298</v>
          </cell>
          <cell r="AE43">
            <v>142481</v>
          </cell>
          <cell r="AF43">
            <v>157243</v>
          </cell>
          <cell r="AG43">
            <v>178883</v>
          </cell>
          <cell r="AH43">
            <v>205718</v>
          </cell>
          <cell r="AI43">
            <v>227005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96677</v>
          </cell>
          <cell r="F45">
            <v>203108</v>
          </cell>
          <cell r="G45">
            <v>297005</v>
          </cell>
          <cell r="H45">
            <v>372011</v>
          </cell>
          <cell r="I45">
            <v>423025</v>
          </cell>
          <cell r="J45">
            <v>473755</v>
          </cell>
          <cell r="K45">
            <v>530439</v>
          </cell>
          <cell r="L45">
            <v>587827</v>
          </cell>
          <cell r="M45">
            <v>646559</v>
          </cell>
          <cell r="N45">
            <v>698264</v>
          </cell>
          <cell r="O45">
            <v>765940</v>
          </cell>
          <cell r="P45">
            <v>856448</v>
          </cell>
          <cell r="T45">
            <v>42</v>
          </cell>
          <cell r="U45" t="str">
            <v>Total Volume</v>
          </cell>
          <cell r="V45"/>
          <cell r="W45"/>
          <cell r="X45">
            <v>129937</v>
          </cell>
          <cell r="Y45">
            <v>227084</v>
          </cell>
          <cell r="Z45">
            <v>311498</v>
          </cell>
          <cell r="AA45">
            <v>396561</v>
          </cell>
          <cell r="AB45">
            <v>451154</v>
          </cell>
          <cell r="AC45">
            <v>507083</v>
          </cell>
          <cell r="AD45">
            <v>560745</v>
          </cell>
          <cell r="AE45">
            <v>611386</v>
          </cell>
          <cell r="AF45">
            <v>659972</v>
          </cell>
          <cell r="AG45">
            <v>707022</v>
          </cell>
          <cell r="AH45">
            <v>767434</v>
          </cell>
          <cell r="AI45">
            <v>849388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45039</v>
          </cell>
          <cell r="F48">
            <v>100051</v>
          </cell>
          <cell r="G48">
            <v>142462</v>
          </cell>
          <cell r="H48">
            <v>167891</v>
          </cell>
          <cell r="I48">
            <v>176636</v>
          </cell>
          <cell r="J48">
            <v>183442</v>
          </cell>
          <cell r="K48">
            <v>189814</v>
          </cell>
          <cell r="L48">
            <v>195750</v>
          </cell>
          <cell r="M48">
            <v>201992</v>
          </cell>
          <cell r="N48">
            <v>208092</v>
          </cell>
          <cell r="O48">
            <v>227826</v>
          </cell>
          <cell r="P48">
            <v>263541</v>
          </cell>
          <cell r="T48">
            <v>45</v>
          </cell>
          <cell r="U48" t="str">
            <v>Residential</v>
          </cell>
          <cell r="W48"/>
          <cell r="X48">
            <v>71599</v>
          </cell>
          <cell r="Y48">
            <v>119838</v>
          </cell>
          <cell r="Z48">
            <v>156928</v>
          </cell>
          <cell r="AA48">
            <v>190806</v>
          </cell>
          <cell r="AB48">
            <v>203619</v>
          </cell>
          <cell r="AC48">
            <v>210212</v>
          </cell>
          <cell r="AD48">
            <v>216718</v>
          </cell>
          <cell r="AE48">
            <v>222470</v>
          </cell>
          <cell r="AF48">
            <v>228239</v>
          </cell>
          <cell r="AG48">
            <v>234135</v>
          </cell>
          <cell r="AH48">
            <v>250533</v>
          </cell>
          <cell r="AI48">
            <v>289010</v>
          </cell>
        </row>
        <row r="49">
          <cell r="A49">
            <v>46</v>
          </cell>
          <cell r="B49" t="str">
            <v>Commercial</v>
          </cell>
          <cell r="D49"/>
          <cell r="E49">
            <v>27533</v>
          </cell>
          <cell r="F49">
            <v>58945</v>
          </cell>
          <cell r="G49">
            <v>86810</v>
          </cell>
          <cell r="H49">
            <v>110514</v>
          </cell>
          <cell r="I49">
            <v>129205</v>
          </cell>
          <cell r="J49">
            <v>151502</v>
          </cell>
          <cell r="K49">
            <v>178736</v>
          </cell>
          <cell r="L49">
            <v>205975</v>
          </cell>
          <cell r="M49">
            <v>233801</v>
          </cell>
          <cell r="N49">
            <v>252807</v>
          </cell>
          <cell r="O49">
            <v>270301</v>
          </cell>
          <cell r="P49">
            <v>292925</v>
          </cell>
          <cell r="T49">
            <v>46</v>
          </cell>
          <cell r="U49" t="str">
            <v>Commercial</v>
          </cell>
          <cell r="W49"/>
          <cell r="X49">
            <v>47644</v>
          </cell>
          <cell r="Y49">
            <v>84414</v>
          </cell>
          <cell r="Z49">
            <v>116858</v>
          </cell>
          <cell r="AA49">
            <v>150979</v>
          </cell>
          <cell r="AB49">
            <v>179251</v>
          </cell>
          <cell r="AC49">
            <v>206507</v>
          </cell>
          <cell r="AD49">
            <v>238839</v>
          </cell>
          <cell r="AE49">
            <v>267940</v>
          </cell>
          <cell r="AF49">
            <v>297502</v>
          </cell>
          <cell r="AG49">
            <v>318038</v>
          </cell>
          <cell r="AH49">
            <v>336610</v>
          </cell>
          <cell r="AI49">
            <v>361403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28422</v>
          </cell>
          <cell r="F50">
            <v>53006</v>
          </cell>
          <cell r="G50">
            <v>80602</v>
          </cell>
          <cell r="H50">
            <v>109517</v>
          </cell>
          <cell r="I50">
            <v>135091</v>
          </cell>
          <cell r="J50">
            <v>158692</v>
          </cell>
          <cell r="K50">
            <v>184025</v>
          </cell>
          <cell r="L50">
            <v>210827</v>
          </cell>
          <cell r="M50">
            <v>237737</v>
          </cell>
          <cell r="N50">
            <v>266396</v>
          </cell>
          <cell r="O50">
            <v>299477</v>
          </cell>
          <cell r="P50">
            <v>334789</v>
          </cell>
          <cell r="T50">
            <v>47</v>
          </cell>
          <cell r="U50" t="str">
            <v xml:space="preserve">Industrial </v>
          </cell>
          <cell r="W50"/>
          <cell r="X50">
            <v>17159</v>
          </cell>
          <cell r="Y50">
            <v>33760</v>
          </cell>
          <cell r="Z50">
            <v>52575</v>
          </cell>
          <cell r="AA50">
            <v>73265</v>
          </cell>
          <cell r="AB50">
            <v>89105</v>
          </cell>
          <cell r="AC50">
            <v>113749</v>
          </cell>
          <cell r="AD50">
            <v>130999</v>
          </cell>
          <cell r="AE50">
            <v>148898</v>
          </cell>
          <cell r="AF50">
            <v>164318</v>
          </cell>
          <cell r="AG50">
            <v>186829</v>
          </cell>
          <cell r="AH50">
            <v>214777</v>
          </cell>
          <cell r="AI50">
            <v>236977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100994</v>
          </cell>
          <cell r="F52">
            <v>212002</v>
          </cell>
          <cell r="G52">
            <v>309874</v>
          </cell>
          <cell r="H52">
            <v>387922</v>
          </cell>
          <cell r="I52">
            <v>440932</v>
          </cell>
          <cell r="J52">
            <v>493636</v>
          </cell>
          <cell r="K52">
            <v>552575</v>
          </cell>
          <cell r="L52">
            <v>612552</v>
          </cell>
          <cell r="M52">
            <v>673530</v>
          </cell>
          <cell r="N52">
            <v>727295</v>
          </cell>
          <cell r="O52">
            <v>797604</v>
          </cell>
          <cell r="P52">
            <v>891255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136402</v>
          </cell>
          <cell r="Y52">
            <v>238012</v>
          </cell>
          <cell r="Z52">
            <v>326361</v>
          </cell>
          <cell r="AA52">
            <v>415050</v>
          </cell>
          <cell r="AB52">
            <v>471975</v>
          </cell>
          <cell r="AC52">
            <v>530468</v>
          </cell>
          <cell r="AD52">
            <v>586556</v>
          </cell>
          <cell r="AE52">
            <v>639308</v>
          </cell>
          <cell r="AF52">
            <v>690059</v>
          </cell>
          <cell r="AG52">
            <v>739002</v>
          </cell>
          <cell r="AH52">
            <v>801920</v>
          </cell>
          <cell r="AI52">
            <v>887390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10970</v>
          </cell>
          <cell r="F55">
            <v>11008</v>
          </cell>
          <cell r="G55">
            <v>11035</v>
          </cell>
          <cell r="H55">
            <v>11065</v>
          </cell>
          <cell r="I55">
            <v>11092</v>
          </cell>
          <cell r="J55">
            <v>10961</v>
          </cell>
          <cell r="K55">
            <v>10909</v>
          </cell>
          <cell r="L55">
            <v>10882</v>
          </cell>
          <cell r="M55">
            <v>10870</v>
          </cell>
          <cell r="N55">
            <v>10870</v>
          </cell>
          <cell r="O55">
            <v>10877</v>
          </cell>
          <cell r="P55">
            <v>10894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131161.70336933911</v>
          </cell>
          <cell r="F56">
            <v>244366.19263332582</v>
          </cell>
          <cell r="G56">
            <v>343360.68646597408</v>
          </cell>
          <cell r="H56">
            <v>430023.3875378638</v>
          </cell>
          <cell r="I56">
            <v>490418.64508266764</v>
          </cell>
          <cell r="J56">
            <v>546691.1214864254</v>
          </cell>
          <cell r="K56">
            <v>607085.48179231002</v>
          </cell>
          <cell r="L56">
            <v>664101.6865182193</v>
          </cell>
          <cell r="M56">
            <v>724499.06111943733</v>
          </cell>
          <cell r="N56">
            <v>783389.11999387899</v>
          </cell>
          <cell r="O56">
            <v>850338.14572808507</v>
          </cell>
          <cell r="P56">
            <v>932020.48397631757</v>
          </cell>
        </row>
        <row r="57">
          <cell r="A57">
            <v>54</v>
          </cell>
          <cell r="B57" t="str">
            <v>Cumulative YTD Budget Volume (Dts) * 1.035</v>
          </cell>
          <cell r="E57">
            <v>135752.36298726598</v>
          </cell>
          <cell r="F57">
            <v>252919.00937549223</v>
          </cell>
          <cell r="G57">
            <v>355378.3104922832</v>
          </cell>
          <cell r="H57">
            <v>445074.20610168902</v>
          </cell>
          <cell r="I57">
            <v>507583.29766056099</v>
          </cell>
          <cell r="J57">
            <v>565825.31073845027</v>
          </cell>
          <cell r="K57">
            <v>628333.47365504084</v>
          </cell>
          <cell r="L57">
            <v>687345.24554635701</v>
          </cell>
          <cell r="M57">
            <v>749856.52825861762</v>
          </cell>
          <cell r="N57">
            <v>810807.73919366475</v>
          </cell>
          <cell r="O57">
            <v>880099.98082856799</v>
          </cell>
          <cell r="P57">
            <v>964641.20091548853</v>
          </cell>
        </row>
      </sheetData>
      <sheetData sheetId="14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17261.583333333332</v>
          </cell>
          <cell r="E5">
            <v>16901</v>
          </cell>
          <cell r="F5">
            <v>16992</v>
          </cell>
          <cell r="G5">
            <v>17072</v>
          </cell>
          <cell r="H5">
            <v>17219</v>
          </cell>
          <cell r="I5">
            <v>17186</v>
          </cell>
          <cell r="J5">
            <v>17209</v>
          </cell>
          <cell r="K5">
            <v>17265</v>
          </cell>
          <cell r="L5">
            <v>17366</v>
          </cell>
          <cell r="M5">
            <v>17395</v>
          </cell>
          <cell r="N5">
            <v>17414</v>
          </cell>
          <cell r="O5">
            <v>17513</v>
          </cell>
          <cell r="P5">
            <v>17607</v>
          </cell>
          <cell r="T5">
            <v>2</v>
          </cell>
          <cell r="U5" t="str">
            <v>Residential</v>
          </cell>
          <cell r="V5">
            <v>16450</v>
          </cell>
          <cell r="W5">
            <v>197403</v>
          </cell>
          <cell r="X5">
            <v>16138</v>
          </cell>
          <cell r="Y5">
            <v>16220</v>
          </cell>
          <cell r="Z5">
            <v>16311</v>
          </cell>
          <cell r="AA5">
            <v>16399</v>
          </cell>
          <cell r="AB5">
            <v>16379</v>
          </cell>
          <cell r="AC5">
            <v>16395</v>
          </cell>
          <cell r="AD5">
            <v>16455</v>
          </cell>
          <cell r="AE5">
            <v>16463</v>
          </cell>
          <cell r="AF5">
            <v>16533</v>
          </cell>
          <cell r="AG5">
            <v>16568</v>
          </cell>
          <cell r="AH5">
            <v>16720</v>
          </cell>
          <cell r="AI5">
            <v>16822</v>
          </cell>
        </row>
        <row r="6">
          <cell r="A6">
            <v>3</v>
          </cell>
          <cell r="B6" t="str">
            <v>Commercial</v>
          </cell>
          <cell r="C6"/>
          <cell r="D6">
            <v>1546.1666666666667</v>
          </cell>
          <cell r="E6">
            <v>1527</v>
          </cell>
          <cell r="F6">
            <v>1527</v>
          </cell>
          <cell r="G6">
            <v>1534</v>
          </cell>
          <cell r="H6">
            <v>1549</v>
          </cell>
          <cell r="I6">
            <v>1541</v>
          </cell>
          <cell r="J6">
            <v>1542</v>
          </cell>
          <cell r="K6">
            <v>1556</v>
          </cell>
          <cell r="L6">
            <v>1564</v>
          </cell>
          <cell r="M6">
            <v>1545</v>
          </cell>
          <cell r="N6">
            <v>1548</v>
          </cell>
          <cell r="O6">
            <v>1553</v>
          </cell>
          <cell r="P6">
            <v>1568</v>
          </cell>
          <cell r="T6">
            <v>3</v>
          </cell>
          <cell r="U6" t="str">
            <v>Commercial</v>
          </cell>
          <cell r="V6">
            <v>1519</v>
          </cell>
          <cell r="W6">
            <v>18230</v>
          </cell>
          <cell r="X6">
            <v>1498</v>
          </cell>
          <cell r="Y6">
            <v>1502</v>
          </cell>
          <cell r="Z6">
            <v>1504</v>
          </cell>
          <cell r="AA6">
            <v>1514</v>
          </cell>
          <cell r="AB6">
            <v>1520</v>
          </cell>
          <cell r="AC6">
            <v>1516</v>
          </cell>
          <cell r="AD6">
            <v>1507</v>
          </cell>
          <cell r="AE6">
            <v>1507</v>
          </cell>
          <cell r="AF6">
            <v>1512</v>
          </cell>
          <cell r="AG6">
            <v>1520</v>
          </cell>
          <cell r="AH6">
            <v>1528</v>
          </cell>
          <cell r="AI6">
            <v>1602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16.833333333333332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16</v>
          </cell>
          <cell r="P7">
            <v>16</v>
          </cell>
          <cell r="T7">
            <v>4</v>
          </cell>
          <cell r="U7" t="str">
            <v xml:space="preserve">Industrial </v>
          </cell>
          <cell r="V7">
            <v>16</v>
          </cell>
          <cell r="W7">
            <v>196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17</v>
          </cell>
          <cell r="AF7">
            <v>17</v>
          </cell>
          <cell r="AG7">
            <v>17</v>
          </cell>
          <cell r="AH7">
            <v>17</v>
          </cell>
          <cell r="AI7">
            <v>17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18824.583333333332</v>
          </cell>
          <cell r="E9">
            <v>18445</v>
          </cell>
          <cell r="F9">
            <v>18536</v>
          </cell>
          <cell r="G9">
            <v>18623</v>
          </cell>
          <cell r="H9">
            <v>18785</v>
          </cell>
          <cell r="I9">
            <v>18744</v>
          </cell>
          <cell r="J9">
            <v>18768</v>
          </cell>
          <cell r="K9">
            <v>18838</v>
          </cell>
          <cell r="L9">
            <v>18947</v>
          </cell>
          <cell r="M9">
            <v>18957</v>
          </cell>
          <cell r="N9">
            <v>18979</v>
          </cell>
          <cell r="O9">
            <v>19082</v>
          </cell>
          <cell r="P9">
            <v>19191</v>
          </cell>
          <cell r="T9">
            <v>6</v>
          </cell>
          <cell r="U9" t="str">
            <v>Total customers</v>
          </cell>
          <cell r="V9">
            <v>17985</v>
          </cell>
          <cell r="W9">
            <v>215829</v>
          </cell>
          <cell r="X9">
            <v>17651</v>
          </cell>
          <cell r="Y9">
            <v>17737</v>
          </cell>
          <cell r="Z9">
            <v>17830</v>
          </cell>
          <cell r="AA9">
            <v>17928</v>
          </cell>
          <cell r="AB9">
            <v>17916</v>
          </cell>
          <cell r="AC9">
            <v>17928</v>
          </cell>
          <cell r="AD9">
            <v>17979</v>
          </cell>
          <cell r="AE9">
            <v>17987</v>
          </cell>
          <cell r="AF9">
            <v>18062</v>
          </cell>
          <cell r="AG9">
            <v>18105</v>
          </cell>
          <cell r="AH9">
            <v>18265</v>
          </cell>
          <cell r="AI9">
            <v>18441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352104.10653422866</v>
          </cell>
          <cell r="E12">
            <v>47993.962411140325</v>
          </cell>
          <cell r="F12">
            <v>44089.784789171288</v>
          </cell>
          <cell r="G12">
            <v>37307.137988119583</v>
          </cell>
          <cell r="H12">
            <v>36187.360015580874</v>
          </cell>
          <cell r="I12">
            <v>25590.125620800467</v>
          </cell>
          <cell r="J12">
            <v>19355.039439088803</v>
          </cell>
          <cell r="K12">
            <v>16172.558184828124</v>
          </cell>
          <cell r="L12">
            <v>18054.654786249965</v>
          </cell>
          <cell r="M12">
            <v>17194.665498100127</v>
          </cell>
          <cell r="N12">
            <v>19854.169831531879</v>
          </cell>
          <cell r="O12">
            <v>27968.730158729955</v>
          </cell>
          <cell r="P12">
            <v>42335.91781088728</v>
          </cell>
          <cell r="T12">
            <v>9</v>
          </cell>
          <cell r="U12" t="str">
            <v>Residential</v>
          </cell>
          <cell r="W12">
            <v>359398.38348427304</v>
          </cell>
          <cell r="X12">
            <v>58513.487194468791</v>
          </cell>
          <cell r="Y12">
            <v>37865.907099035932</v>
          </cell>
          <cell r="Z12">
            <v>40369.364105560424</v>
          </cell>
          <cell r="AA12">
            <v>37853.92930178206</v>
          </cell>
          <cell r="AB12">
            <v>24110.234686921802</v>
          </cell>
          <cell r="AC12">
            <v>21293.212581556141</v>
          </cell>
          <cell r="AD12">
            <v>17416.593631317559</v>
          </cell>
          <cell r="AE12">
            <v>17066.510857921901</v>
          </cell>
          <cell r="AF12">
            <v>17178.011490894925</v>
          </cell>
          <cell r="AG12">
            <v>16925.893465770765</v>
          </cell>
          <cell r="AH12">
            <v>29335.378323108383</v>
          </cell>
          <cell r="AI12">
            <v>41469.860745934362</v>
          </cell>
        </row>
        <row r="13">
          <cell r="A13">
            <v>10</v>
          </cell>
          <cell r="B13" t="str">
            <v>Commercial</v>
          </cell>
          <cell r="C13"/>
          <cell r="D13">
            <v>4475776.0278508132</v>
          </cell>
          <cell r="E13">
            <v>426088.71360405104</v>
          </cell>
          <cell r="F13">
            <v>382196.22163793945</v>
          </cell>
          <cell r="G13">
            <v>407767.35806797154</v>
          </cell>
          <cell r="H13">
            <v>371572.40237608337</v>
          </cell>
          <cell r="I13">
            <v>381325.25075469859</v>
          </cell>
          <cell r="J13">
            <v>361014.52527023084</v>
          </cell>
          <cell r="K13">
            <v>357188.7233420976</v>
          </cell>
          <cell r="L13">
            <v>349571.08189697156</v>
          </cell>
          <cell r="M13">
            <v>311514.06758204306</v>
          </cell>
          <cell r="N13">
            <v>360622.00993280747</v>
          </cell>
          <cell r="O13">
            <v>378829.50433343073</v>
          </cell>
          <cell r="P13">
            <v>388086.16905248811</v>
          </cell>
          <cell r="T13">
            <v>10</v>
          </cell>
          <cell r="U13" t="str">
            <v>Commercial</v>
          </cell>
          <cell r="W13">
            <v>4596092.6088226698</v>
          </cell>
          <cell r="X13">
            <v>428117.92774369463</v>
          </cell>
          <cell r="Y13">
            <v>378326.41932028433</v>
          </cell>
          <cell r="Z13">
            <v>397114.03252507548</v>
          </cell>
          <cell r="AA13">
            <v>382393.90398286103</v>
          </cell>
          <cell r="AB13">
            <v>360169.24724900187</v>
          </cell>
          <cell r="AC13">
            <v>360236.92667250946</v>
          </cell>
          <cell r="AD13">
            <v>361729.76920829678</v>
          </cell>
          <cell r="AE13">
            <v>387291.84925503941</v>
          </cell>
          <cell r="AF13">
            <v>379223.00126594602</v>
          </cell>
          <cell r="AG13">
            <v>380635.31015678257</v>
          </cell>
          <cell r="AH13">
            <v>390483.98091342876</v>
          </cell>
          <cell r="AI13">
            <v>390370.24052974972</v>
          </cell>
        </row>
        <row r="14">
          <cell r="A14">
            <v>11</v>
          </cell>
          <cell r="B14" t="str">
            <v xml:space="preserve">Industrial </v>
          </cell>
          <cell r="C14"/>
          <cell r="D14">
            <v>27768125.251728505</v>
          </cell>
          <cell r="E14">
            <v>2620432.7587885871</v>
          </cell>
          <cell r="F14">
            <v>2190278.118609407</v>
          </cell>
          <cell r="G14">
            <v>2331026.3608920048</v>
          </cell>
          <cell r="H14">
            <v>2148051.5142662381</v>
          </cell>
          <cell r="I14">
            <v>2503051.8064076346</v>
          </cell>
          <cell r="J14">
            <v>2229507.0630051615</v>
          </cell>
          <cell r="K14">
            <v>2250134.2876618952</v>
          </cell>
          <cell r="L14">
            <v>2412745.4055896392</v>
          </cell>
          <cell r="M14">
            <v>2172812.8970688484</v>
          </cell>
          <cell r="N14">
            <v>2158220.1986561497</v>
          </cell>
          <cell r="O14">
            <v>2199121.8560716729</v>
          </cell>
          <cell r="P14">
            <v>2552742.9847112675</v>
          </cell>
          <cell r="T14">
            <v>11</v>
          </cell>
          <cell r="U14" t="str">
            <v xml:space="preserve">Industrial </v>
          </cell>
          <cell r="W14">
            <v>19338137.59859772</v>
          </cell>
          <cell r="X14">
            <v>1103223.7803096699</v>
          </cell>
          <cell r="Y14">
            <v>793762.29428376665</v>
          </cell>
          <cell r="Z14">
            <v>1088410.4586619923</v>
          </cell>
          <cell r="AA14">
            <v>934909.33878663939</v>
          </cell>
          <cell r="AB14">
            <v>931591.39156685164</v>
          </cell>
          <cell r="AC14">
            <v>1737492.9399162529</v>
          </cell>
          <cell r="AD14">
            <v>2089263.5115395852</v>
          </cell>
          <cell r="AE14">
            <v>2135557.9900671924</v>
          </cell>
          <cell r="AF14">
            <v>2118314.8310448923</v>
          </cell>
          <cell r="AG14">
            <v>1991621.2873697537</v>
          </cell>
          <cell r="AH14">
            <v>2068151.0371019572</v>
          </cell>
          <cell r="AI14">
            <v>2345838.7379491674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32596005.386113547</v>
          </cell>
          <cell r="E16">
            <v>3094515.4348037783</v>
          </cell>
          <cell r="F16">
            <v>2616564.1250365176</v>
          </cell>
          <cell r="G16">
            <v>2776100.8569480958</v>
          </cell>
          <cell r="H16">
            <v>2555811.2766579022</v>
          </cell>
          <cell r="I16">
            <v>2909967.1827831338</v>
          </cell>
          <cell r="J16">
            <v>2609876.6277144812</v>
          </cell>
          <cell r="K16">
            <v>2623495.5691888211</v>
          </cell>
          <cell r="L16">
            <v>2780371.1422728607</v>
          </cell>
          <cell r="M16">
            <v>2501521.6301489915</v>
          </cell>
          <cell r="N16">
            <v>2538696.3784204889</v>
          </cell>
          <cell r="O16">
            <v>2605920.0905638337</v>
          </cell>
          <cell r="P16">
            <v>2983165.0715746428</v>
          </cell>
          <cell r="T16">
            <v>13</v>
          </cell>
          <cell r="U16" t="str">
            <v>Total Deliveries</v>
          </cell>
          <cell r="V16"/>
          <cell r="W16">
            <v>24293628.590904664</v>
          </cell>
          <cell r="X16">
            <v>1589855.1952478334</v>
          </cell>
          <cell r="Y16">
            <v>1209954.620703087</v>
          </cell>
          <cell r="Z16">
            <v>1525893.8552926283</v>
          </cell>
          <cell r="AA16">
            <v>1355157.1720712825</v>
          </cell>
          <cell r="AB16">
            <v>1315870.8735027753</v>
          </cell>
          <cell r="AC16">
            <v>2119023.0791703183</v>
          </cell>
          <cell r="AD16">
            <v>2468409.8743791995</v>
          </cell>
          <cell r="AE16">
            <v>2539916.3501801537</v>
          </cell>
          <cell r="AF16">
            <v>2514715.8438017331</v>
          </cell>
          <cell r="AG16">
            <v>2389182.4909923072</v>
          </cell>
          <cell r="AH16">
            <v>2487970.3963384945</v>
          </cell>
          <cell r="AI16">
            <v>2777678.8392248517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361577</v>
          </cell>
          <cell r="E21">
            <v>49285</v>
          </cell>
          <cell r="F21">
            <v>45276</v>
          </cell>
          <cell r="G21">
            <v>38311</v>
          </cell>
          <cell r="H21">
            <v>37161</v>
          </cell>
          <cell r="I21">
            <v>26279</v>
          </cell>
          <cell r="J21">
            <v>19876</v>
          </cell>
          <cell r="K21">
            <v>16608</v>
          </cell>
          <cell r="L21">
            <v>18540</v>
          </cell>
          <cell r="M21">
            <v>17657</v>
          </cell>
          <cell r="N21">
            <v>20388</v>
          </cell>
          <cell r="O21">
            <v>28721</v>
          </cell>
          <cell r="P21">
            <v>43475</v>
          </cell>
          <cell r="T21">
            <v>18</v>
          </cell>
          <cell r="U21" t="str">
            <v>Residential</v>
          </cell>
          <cell r="W21">
            <v>369067</v>
          </cell>
          <cell r="X21">
            <v>60088</v>
          </cell>
          <cell r="Y21">
            <v>38885</v>
          </cell>
          <cell r="Z21">
            <v>41455</v>
          </cell>
          <cell r="AA21">
            <v>38872</v>
          </cell>
          <cell r="AB21">
            <v>24759</v>
          </cell>
          <cell r="AC21">
            <v>21866</v>
          </cell>
          <cell r="AD21">
            <v>17885</v>
          </cell>
          <cell r="AE21">
            <v>17526</v>
          </cell>
          <cell r="AF21">
            <v>17640</v>
          </cell>
          <cell r="AG21">
            <v>17381</v>
          </cell>
          <cell r="AH21">
            <v>30125</v>
          </cell>
          <cell r="AI21">
            <v>42585</v>
          </cell>
        </row>
        <row r="22">
          <cell r="A22">
            <v>19</v>
          </cell>
          <cell r="B22" t="str">
            <v>Commercial</v>
          </cell>
          <cell r="D22">
            <v>4596176</v>
          </cell>
          <cell r="E22">
            <v>437551</v>
          </cell>
          <cell r="F22">
            <v>392477</v>
          </cell>
          <cell r="G22">
            <v>418736</v>
          </cell>
          <cell r="H22">
            <v>381568</v>
          </cell>
          <cell r="I22">
            <v>391583</v>
          </cell>
          <cell r="J22">
            <v>370726</v>
          </cell>
          <cell r="K22">
            <v>366797</v>
          </cell>
          <cell r="L22">
            <v>358975</v>
          </cell>
          <cell r="M22">
            <v>319894</v>
          </cell>
          <cell r="N22">
            <v>370323</v>
          </cell>
          <cell r="O22">
            <v>389020</v>
          </cell>
          <cell r="P22">
            <v>398526</v>
          </cell>
          <cell r="T22">
            <v>19</v>
          </cell>
          <cell r="U22" t="str">
            <v>Commercial</v>
          </cell>
          <cell r="W22">
            <v>4719725</v>
          </cell>
          <cell r="X22">
            <v>439634</v>
          </cell>
          <cell r="Y22">
            <v>388503</v>
          </cell>
          <cell r="Z22">
            <v>407796</v>
          </cell>
          <cell r="AA22">
            <v>392680</v>
          </cell>
          <cell r="AB22">
            <v>369858</v>
          </cell>
          <cell r="AC22">
            <v>369927</v>
          </cell>
          <cell r="AD22">
            <v>371460</v>
          </cell>
          <cell r="AE22">
            <v>397710</v>
          </cell>
          <cell r="AF22">
            <v>389424</v>
          </cell>
          <cell r="AG22">
            <v>390874</v>
          </cell>
          <cell r="AH22">
            <v>400988</v>
          </cell>
          <cell r="AI22">
            <v>400871</v>
          </cell>
        </row>
        <row r="23">
          <cell r="A23">
            <v>20</v>
          </cell>
          <cell r="B23" t="str">
            <v xml:space="preserve">Industrial </v>
          </cell>
          <cell r="D23">
            <v>28515088</v>
          </cell>
          <cell r="E23">
            <v>2690922</v>
          </cell>
          <cell r="F23">
            <v>2249197</v>
          </cell>
          <cell r="G23">
            <v>2393731</v>
          </cell>
          <cell r="H23">
            <v>2205834</v>
          </cell>
          <cell r="I23">
            <v>2570384</v>
          </cell>
          <cell r="J23">
            <v>2289481</v>
          </cell>
          <cell r="K23">
            <v>2310663</v>
          </cell>
          <cell r="L23">
            <v>2477648</v>
          </cell>
          <cell r="M23">
            <v>2231262</v>
          </cell>
          <cell r="N23">
            <v>2216276</v>
          </cell>
          <cell r="O23">
            <v>2258278</v>
          </cell>
          <cell r="P23">
            <v>2621412</v>
          </cell>
          <cell r="T23">
            <v>20</v>
          </cell>
          <cell r="U23" t="str">
            <v xml:space="preserve">Industrial </v>
          </cell>
          <cell r="W23">
            <v>19858336</v>
          </cell>
          <cell r="X23">
            <v>1132901</v>
          </cell>
          <cell r="Y23">
            <v>815115</v>
          </cell>
          <cell r="Z23">
            <v>1117689</v>
          </cell>
          <cell r="AA23">
            <v>960058</v>
          </cell>
          <cell r="AB23">
            <v>956651</v>
          </cell>
          <cell r="AC23">
            <v>1784232</v>
          </cell>
          <cell r="AD23">
            <v>2145465</v>
          </cell>
          <cell r="AE23">
            <v>2193005</v>
          </cell>
          <cell r="AF23">
            <v>2175298</v>
          </cell>
          <cell r="AG23">
            <v>2045196</v>
          </cell>
          <cell r="AH23">
            <v>2123784</v>
          </cell>
          <cell r="AI23">
            <v>2408942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33472841</v>
          </cell>
          <cell r="E25">
            <v>3177758</v>
          </cell>
          <cell r="F25">
            <v>2686950</v>
          </cell>
          <cell r="G25">
            <v>2850778</v>
          </cell>
          <cell r="H25">
            <v>2624563</v>
          </cell>
          <cell r="I25">
            <v>2988246</v>
          </cell>
          <cell r="J25">
            <v>2680083</v>
          </cell>
          <cell r="K25">
            <v>2694068</v>
          </cell>
          <cell r="L25">
            <v>2855163</v>
          </cell>
          <cell r="M25">
            <v>2568813</v>
          </cell>
          <cell r="N25">
            <v>2606987</v>
          </cell>
          <cell r="O25">
            <v>2676019</v>
          </cell>
          <cell r="P25">
            <v>3063413</v>
          </cell>
          <cell r="T25">
            <v>22</v>
          </cell>
          <cell r="U25" t="str">
            <v>Total Deliveries</v>
          </cell>
          <cell r="V25"/>
          <cell r="W25">
            <v>24947128</v>
          </cell>
          <cell r="X25">
            <v>1632623</v>
          </cell>
          <cell r="Y25">
            <v>1242503</v>
          </cell>
          <cell r="Z25">
            <v>1566940</v>
          </cell>
          <cell r="AA25">
            <v>1391610</v>
          </cell>
          <cell r="AB25">
            <v>1351268</v>
          </cell>
          <cell r="AC25">
            <v>2176025</v>
          </cell>
          <cell r="AD25">
            <v>2534810</v>
          </cell>
          <cell r="AE25">
            <v>2608241</v>
          </cell>
          <cell r="AF25">
            <v>2582362</v>
          </cell>
          <cell r="AG25">
            <v>2453451</v>
          </cell>
          <cell r="AH25">
            <v>2554897</v>
          </cell>
          <cell r="AI25">
            <v>2852398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17860</v>
          </cell>
          <cell r="F28">
            <v>17934</v>
          </cell>
          <cell r="G28">
            <v>18023</v>
          </cell>
          <cell r="H28">
            <v>18105</v>
          </cell>
          <cell r="I28">
            <v>18051</v>
          </cell>
          <cell r="J28">
            <v>18019</v>
          </cell>
          <cell r="K28">
            <v>18016</v>
          </cell>
          <cell r="L28">
            <v>18056</v>
          </cell>
          <cell r="M28">
            <v>18116</v>
          </cell>
          <cell r="N28">
            <v>18148</v>
          </cell>
          <cell r="O28">
            <v>18297</v>
          </cell>
          <cell r="P28">
            <v>18356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3473656.5061944607</v>
          </cell>
          <cell r="F29">
            <v>3241351.8133942443</v>
          </cell>
          <cell r="G29">
            <v>3458155.7943156301</v>
          </cell>
          <cell r="H29">
            <v>3361210.4822735456</v>
          </cell>
          <cell r="I29">
            <v>3394709.1034266092</v>
          </cell>
          <cell r="J29">
            <v>3309762.7654177933</v>
          </cell>
          <cell r="K29">
            <v>2516214.7953498783</v>
          </cell>
          <cell r="L29">
            <v>3369036.6183061926</v>
          </cell>
          <cell r="M29">
            <v>3269922.4798983475</v>
          </cell>
          <cell r="N29">
            <v>3403239.6416995963</v>
          </cell>
          <cell r="O29">
            <v>3343515.4656541208</v>
          </cell>
          <cell r="P29">
            <v>3437457.3216761877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3567098</v>
          </cell>
          <cell r="F30">
            <v>3328544</v>
          </cell>
          <cell r="G30">
            <v>3551180</v>
          </cell>
          <cell r="H30">
            <v>3451627</v>
          </cell>
          <cell r="I30">
            <v>3486027</v>
          </cell>
          <cell r="J30">
            <v>3398795</v>
          </cell>
          <cell r="K30">
            <v>2583901</v>
          </cell>
          <cell r="L30">
            <v>3459664</v>
          </cell>
          <cell r="M30">
            <v>3357883</v>
          </cell>
          <cell r="N30">
            <v>3494787</v>
          </cell>
          <cell r="O30">
            <v>3433456</v>
          </cell>
          <cell r="P30">
            <v>3529925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16901</v>
          </cell>
          <cell r="F34">
            <v>16947</v>
          </cell>
          <cell r="G34">
            <v>16988</v>
          </cell>
          <cell r="H34">
            <v>17046</v>
          </cell>
          <cell r="I34">
            <v>17074</v>
          </cell>
          <cell r="J34">
            <v>17097</v>
          </cell>
          <cell r="K34">
            <v>17121</v>
          </cell>
          <cell r="L34">
            <v>17151</v>
          </cell>
          <cell r="M34">
            <v>17178</v>
          </cell>
          <cell r="N34">
            <v>17202</v>
          </cell>
          <cell r="O34">
            <v>17230</v>
          </cell>
          <cell r="P34">
            <v>17262</v>
          </cell>
          <cell r="T34">
            <v>31</v>
          </cell>
          <cell r="U34" t="str">
            <v>Residential</v>
          </cell>
          <cell r="V34"/>
          <cell r="W34"/>
          <cell r="X34">
            <v>16138</v>
          </cell>
          <cell r="Y34">
            <v>16179</v>
          </cell>
          <cell r="Z34">
            <v>16223</v>
          </cell>
          <cell r="AA34">
            <v>16267</v>
          </cell>
          <cell r="AB34">
            <v>16289</v>
          </cell>
          <cell r="AC34">
            <v>16307</v>
          </cell>
          <cell r="AD34">
            <v>16328</v>
          </cell>
          <cell r="AE34">
            <v>16345</v>
          </cell>
          <cell r="AF34">
            <v>16366</v>
          </cell>
          <cell r="AG34">
            <v>16386</v>
          </cell>
          <cell r="AH34">
            <v>16416</v>
          </cell>
          <cell r="AI34">
            <v>16450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1527</v>
          </cell>
          <cell r="F35">
            <v>1527</v>
          </cell>
          <cell r="G35">
            <v>1529</v>
          </cell>
          <cell r="H35">
            <v>1534</v>
          </cell>
          <cell r="I35">
            <v>1536</v>
          </cell>
          <cell r="J35">
            <v>1537</v>
          </cell>
          <cell r="K35">
            <v>1539</v>
          </cell>
          <cell r="L35">
            <v>1543</v>
          </cell>
          <cell r="M35">
            <v>1543</v>
          </cell>
          <cell r="N35">
            <v>1543</v>
          </cell>
          <cell r="O35">
            <v>1544</v>
          </cell>
          <cell r="P35">
            <v>1546</v>
          </cell>
          <cell r="T35">
            <v>32</v>
          </cell>
          <cell r="U35" t="str">
            <v>Commercial</v>
          </cell>
          <cell r="V35"/>
          <cell r="W35"/>
          <cell r="X35">
            <v>1498</v>
          </cell>
          <cell r="Y35">
            <v>1500</v>
          </cell>
          <cell r="Z35">
            <v>1501</v>
          </cell>
          <cell r="AA35">
            <v>1505</v>
          </cell>
          <cell r="AB35">
            <v>1508</v>
          </cell>
          <cell r="AC35">
            <v>1509</v>
          </cell>
          <cell r="AD35">
            <v>1509</v>
          </cell>
          <cell r="AE35">
            <v>1509</v>
          </cell>
          <cell r="AF35">
            <v>1509</v>
          </cell>
          <cell r="AG35">
            <v>1510</v>
          </cell>
          <cell r="AH35">
            <v>1512</v>
          </cell>
          <cell r="AI35">
            <v>1519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17</v>
          </cell>
          <cell r="F36">
            <v>17</v>
          </cell>
          <cell r="G36">
            <v>17</v>
          </cell>
          <cell r="H36">
            <v>17</v>
          </cell>
          <cell r="I36">
            <v>17</v>
          </cell>
          <cell r="J36">
            <v>17</v>
          </cell>
          <cell r="K36">
            <v>17</v>
          </cell>
          <cell r="L36">
            <v>17</v>
          </cell>
          <cell r="M36">
            <v>17</v>
          </cell>
          <cell r="N36">
            <v>17</v>
          </cell>
          <cell r="O36">
            <v>17</v>
          </cell>
          <cell r="P36">
            <v>17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15</v>
          </cell>
          <cell r="Y36">
            <v>15</v>
          </cell>
          <cell r="Z36">
            <v>15</v>
          </cell>
          <cell r="AA36">
            <v>15</v>
          </cell>
          <cell r="AB36">
            <v>15</v>
          </cell>
          <cell r="AC36">
            <v>16</v>
          </cell>
          <cell r="AD36">
            <v>16</v>
          </cell>
          <cell r="AE36">
            <v>16</v>
          </cell>
          <cell r="AF36">
            <v>16</v>
          </cell>
          <cell r="AG36">
            <v>16</v>
          </cell>
          <cell r="AH36">
            <v>16</v>
          </cell>
          <cell r="AI36">
            <v>16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18445</v>
          </cell>
          <cell r="F38">
            <v>18491</v>
          </cell>
          <cell r="G38">
            <v>18534</v>
          </cell>
          <cell r="H38">
            <v>18597</v>
          </cell>
          <cell r="I38">
            <v>18627</v>
          </cell>
          <cell r="J38">
            <v>18651</v>
          </cell>
          <cell r="K38">
            <v>18677</v>
          </cell>
          <cell r="L38">
            <v>18711</v>
          </cell>
          <cell r="M38">
            <v>18738</v>
          </cell>
          <cell r="N38">
            <v>18762</v>
          </cell>
          <cell r="O38">
            <v>18791</v>
          </cell>
          <cell r="P38">
            <v>18825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17651</v>
          </cell>
          <cell r="Y38">
            <v>17694</v>
          </cell>
          <cell r="Z38">
            <v>17739</v>
          </cell>
          <cell r="AA38">
            <v>17787</v>
          </cell>
          <cell r="AB38">
            <v>17812</v>
          </cell>
          <cell r="AC38">
            <v>17832</v>
          </cell>
          <cell r="AD38">
            <v>17853</v>
          </cell>
          <cell r="AE38">
            <v>17870</v>
          </cell>
          <cell r="AF38">
            <v>17891</v>
          </cell>
          <cell r="AG38">
            <v>17912</v>
          </cell>
          <cell r="AH38">
            <v>17944</v>
          </cell>
          <cell r="AI38">
            <v>17985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47993.962411140325</v>
          </cell>
          <cell r="F41">
            <v>92083.747200311613</v>
          </cell>
          <cell r="G41">
            <v>129390.88518843119</v>
          </cell>
          <cell r="H41">
            <v>165578.24520401206</v>
          </cell>
          <cell r="I41">
            <v>191168.37082481253</v>
          </cell>
          <cell r="J41">
            <v>210523.41026390134</v>
          </cell>
          <cell r="K41">
            <v>226695.96844872946</v>
          </cell>
          <cell r="L41">
            <v>244750.62323497943</v>
          </cell>
          <cell r="M41">
            <v>261945.28873307956</v>
          </cell>
          <cell r="N41">
            <v>281799.45856461144</v>
          </cell>
          <cell r="O41">
            <v>309768.18872334139</v>
          </cell>
          <cell r="P41">
            <v>352104.10653422866</v>
          </cell>
          <cell r="T41">
            <v>38</v>
          </cell>
          <cell r="U41" t="str">
            <v>Residential</v>
          </cell>
          <cell r="W41"/>
          <cell r="X41">
            <v>58513.487194468791</v>
          </cell>
          <cell r="Y41">
            <v>96379.394293504723</v>
          </cell>
          <cell r="Z41">
            <v>136748.75839906515</v>
          </cell>
          <cell r="AA41">
            <v>174602.68770084722</v>
          </cell>
          <cell r="AB41">
            <v>198712.92238776904</v>
          </cell>
          <cell r="AC41">
            <v>220006.13496932518</v>
          </cell>
          <cell r="AD41">
            <v>237422.72860064273</v>
          </cell>
          <cell r="AE41">
            <v>254489.23945856464</v>
          </cell>
          <cell r="AF41">
            <v>271667.25094945956</v>
          </cell>
          <cell r="AG41">
            <v>288593.14441523032</v>
          </cell>
          <cell r="AH41">
            <v>317928.52273833868</v>
          </cell>
          <cell r="AI41">
            <v>359398.38348427304</v>
          </cell>
        </row>
        <row r="42">
          <cell r="A42">
            <v>39</v>
          </cell>
          <cell r="B42" t="str">
            <v>Commercial</v>
          </cell>
          <cell r="D42"/>
          <cell r="E42">
            <v>426088.71360405104</v>
          </cell>
          <cell r="F42">
            <v>808284.93524199049</v>
          </cell>
          <cell r="G42">
            <v>1216052.2933099619</v>
          </cell>
          <cell r="H42">
            <v>1587624.6956860453</v>
          </cell>
          <cell r="I42">
            <v>1968949.946440744</v>
          </cell>
          <cell r="J42">
            <v>2329964.4717109748</v>
          </cell>
          <cell r="K42">
            <v>2687153.1950530726</v>
          </cell>
          <cell r="L42">
            <v>3036724.2769500441</v>
          </cell>
          <cell r="M42">
            <v>3348238.344532087</v>
          </cell>
          <cell r="N42">
            <v>3708860.3544648946</v>
          </cell>
          <cell r="O42">
            <v>4087689.8587983255</v>
          </cell>
          <cell r="P42">
            <v>4475776.0278508132</v>
          </cell>
          <cell r="T42">
            <v>39</v>
          </cell>
          <cell r="U42" t="str">
            <v>Commercial</v>
          </cell>
          <cell r="W42"/>
          <cell r="X42">
            <v>428117.92774369463</v>
          </cell>
          <cell r="Y42">
            <v>806444.3470639789</v>
          </cell>
          <cell r="Z42">
            <v>1203558.3795890543</v>
          </cell>
          <cell r="AA42">
            <v>1585952.2835719152</v>
          </cell>
          <cell r="AB42">
            <v>1946121.5308209171</v>
          </cell>
          <cell r="AC42">
            <v>2306358.4574934267</v>
          </cell>
          <cell r="AD42">
            <v>2668088.2267017234</v>
          </cell>
          <cell r="AE42">
            <v>3055380.0759567628</v>
          </cell>
          <cell r="AF42">
            <v>3434603.0772227086</v>
          </cell>
          <cell r="AG42">
            <v>3815238.3873794912</v>
          </cell>
          <cell r="AH42">
            <v>4205722.3682929203</v>
          </cell>
          <cell r="AI42">
            <v>4596092.6088226698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2620432.7587885871</v>
          </cell>
          <cell r="F43">
            <v>4810710.8773979936</v>
          </cell>
          <cell r="G43">
            <v>7141737.2382899988</v>
          </cell>
          <cell r="H43">
            <v>9289788.7525562365</v>
          </cell>
          <cell r="I43">
            <v>11792840.558963871</v>
          </cell>
          <cell r="J43">
            <v>14022347.621969033</v>
          </cell>
          <cell r="K43">
            <v>16272481.909630928</v>
          </cell>
          <cell r="L43">
            <v>18685227.315220568</v>
          </cell>
          <cell r="M43">
            <v>20858040.212289415</v>
          </cell>
          <cell r="N43">
            <v>23016260.410945565</v>
          </cell>
          <cell r="O43">
            <v>25215382.267017238</v>
          </cell>
          <cell r="P43">
            <v>27768125.251728505</v>
          </cell>
          <cell r="T43">
            <v>40</v>
          </cell>
          <cell r="U43" t="str">
            <v xml:space="preserve">Industrial </v>
          </cell>
          <cell r="W43"/>
          <cell r="X43">
            <v>1103223.7803096699</v>
          </cell>
          <cell r="Y43">
            <v>1896986.0745934364</v>
          </cell>
          <cell r="Z43">
            <v>2985396.533255429</v>
          </cell>
          <cell r="AA43">
            <v>3920305.8720420683</v>
          </cell>
          <cell r="AB43">
            <v>4851897.2636089195</v>
          </cell>
          <cell r="AC43">
            <v>6589390.2035251725</v>
          </cell>
          <cell r="AD43">
            <v>8678653.7150647584</v>
          </cell>
          <cell r="AE43">
            <v>10814211.705131952</v>
          </cell>
          <cell r="AF43">
            <v>12932526.536176844</v>
          </cell>
          <cell r="AG43">
            <v>14924147.823546598</v>
          </cell>
          <cell r="AH43">
            <v>16992298.860648554</v>
          </cell>
          <cell r="AI43">
            <v>19338137.59859772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3094515.4348037783</v>
          </cell>
          <cell r="F45">
            <v>5711079.5598402955</v>
          </cell>
          <cell r="G45">
            <v>8487180.4167883918</v>
          </cell>
          <cell r="H45">
            <v>11042991.693446293</v>
          </cell>
          <cell r="I45">
            <v>13952958.876229428</v>
          </cell>
          <cell r="J45">
            <v>16562835.503943909</v>
          </cell>
          <cell r="K45">
            <v>19186331.073132731</v>
          </cell>
          <cell r="L45">
            <v>21966702.215405591</v>
          </cell>
          <cell r="M45">
            <v>24468223.845554583</v>
          </cell>
          <cell r="N45">
            <v>27006920.22397507</v>
          </cell>
          <cell r="O45">
            <v>29612840.314538904</v>
          </cell>
          <cell r="P45">
            <v>32596005.386113547</v>
          </cell>
          <cell r="T45">
            <v>42</v>
          </cell>
          <cell r="U45" t="str">
            <v>Total Volume</v>
          </cell>
          <cell r="V45"/>
          <cell r="W45"/>
          <cell r="X45">
            <v>1589855.1952478334</v>
          </cell>
          <cell r="Y45">
            <v>2799809.8159509199</v>
          </cell>
          <cell r="Z45">
            <v>4325703.6712435484</v>
          </cell>
          <cell r="AA45">
            <v>5680860.8433148302</v>
          </cell>
          <cell r="AB45">
            <v>6996731.7168176062</v>
          </cell>
          <cell r="AC45">
            <v>9115754.7959879246</v>
          </cell>
          <cell r="AD45">
            <v>11584164.670367125</v>
          </cell>
          <cell r="AE45">
            <v>14124081.020547278</v>
          </cell>
          <cell r="AF45">
            <v>16638796.864349011</v>
          </cell>
          <cell r="AG45">
            <v>19027979.355341319</v>
          </cell>
          <cell r="AH45">
            <v>21515949.751679812</v>
          </cell>
          <cell r="AI45">
            <v>24293628.590904664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- 2018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49285</v>
          </cell>
          <cell r="F48">
            <v>94561</v>
          </cell>
          <cell r="G48">
            <v>132872</v>
          </cell>
          <cell r="H48">
            <v>170033</v>
          </cell>
          <cell r="I48">
            <v>196312</v>
          </cell>
          <cell r="J48">
            <v>216188</v>
          </cell>
          <cell r="K48">
            <v>232796</v>
          </cell>
          <cell r="L48">
            <v>251336</v>
          </cell>
          <cell r="M48">
            <v>268993</v>
          </cell>
          <cell r="N48">
            <v>289381</v>
          </cell>
          <cell r="O48">
            <v>318102</v>
          </cell>
          <cell r="P48">
            <v>361577</v>
          </cell>
          <cell r="T48">
            <v>45</v>
          </cell>
          <cell r="U48" t="str">
            <v>Residential</v>
          </cell>
          <cell r="W48"/>
          <cell r="X48">
            <v>60088</v>
          </cell>
          <cell r="Y48">
            <v>98973</v>
          </cell>
          <cell r="Z48">
            <v>140428</v>
          </cell>
          <cell r="AA48">
            <v>179300</v>
          </cell>
          <cell r="AB48">
            <v>204059</v>
          </cell>
          <cell r="AC48">
            <v>225925</v>
          </cell>
          <cell r="AD48">
            <v>243810</v>
          </cell>
          <cell r="AE48">
            <v>261336</v>
          </cell>
          <cell r="AF48">
            <v>278976</v>
          </cell>
          <cell r="AG48">
            <v>296357</v>
          </cell>
          <cell r="AH48">
            <v>326482</v>
          </cell>
          <cell r="AI48">
            <v>369067</v>
          </cell>
        </row>
        <row r="49">
          <cell r="A49">
            <v>46</v>
          </cell>
          <cell r="B49" t="str">
            <v>Commercial</v>
          </cell>
          <cell r="D49"/>
          <cell r="E49">
            <v>437551</v>
          </cell>
          <cell r="F49">
            <v>830028</v>
          </cell>
          <cell r="G49">
            <v>1248764</v>
          </cell>
          <cell r="H49">
            <v>1630332</v>
          </cell>
          <cell r="I49">
            <v>2021915</v>
          </cell>
          <cell r="J49">
            <v>2392641</v>
          </cell>
          <cell r="K49">
            <v>2759438</v>
          </cell>
          <cell r="L49">
            <v>3118413</v>
          </cell>
          <cell r="M49">
            <v>3438307</v>
          </cell>
          <cell r="N49">
            <v>3808630</v>
          </cell>
          <cell r="O49">
            <v>4197650</v>
          </cell>
          <cell r="P49">
            <v>4596176</v>
          </cell>
          <cell r="T49">
            <v>46</v>
          </cell>
          <cell r="U49" t="str">
            <v>Commercial</v>
          </cell>
          <cell r="W49"/>
          <cell r="X49">
            <v>439634</v>
          </cell>
          <cell r="Y49">
            <v>828137</v>
          </cell>
          <cell r="Z49">
            <v>1235933</v>
          </cell>
          <cell r="AA49">
            <v>1628613</v>
          </cell>
          <cell r="AB49">
            <v>1998471</v>
          </cell>
          <cell r="AC49">
            <v>2368398</v>
          </cell>
          <cell r="AD49">
            <v>2739858</v>
          </cell>
          <cell r="AE49">
            <v>3137568</v>
          </cell>
          <cell r="AF49">
            <v>3526992</v>
          </cell>
          <cell r="AG49">
            <v>3917866</v>
          </cell>
          <cell r="AH49">
            <v>4318854</v>
          </cell>
          <cell r="AI49">
            <v>4719725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2690922</v>
          </cell>
          <cell r="F50">
            <v>4940119</v>
          </cell>
          <cell r="G50">
            <v>7333850</v>
          </cell>
          <cell r="H50">
            <v>9539684</v>
          </cell>
          <cell r="I50">
            <v>12110068</v>
          </cell>
          <cell r="J50">
            <v>14399549</v>
          </cell>
          <cell r="K50">
            <v>16710212</v>
          </cell>
          <cell r="L50">
            <v>19187860</v>
          </cell>
          <cell r="M50">
            <v>21419122</v>
          </cell>
          <cell r="N50">
            <v>23635398</v>
          </cell>
          <cell r="O50">
            <v>25893676</v>
          </cell>
          <cell r="P50">
            <v>28515088</v>
          </cell>
          <cell r="T50">
            <v>47</v>
          </cell>
          <cell r="U50" t="str">
            <v xml:space="preserve">Industrial </v>
          </cell>
          <cell r="W50"/>
          <cell r="X50">
            <v>1132901</v>
          </cell>
          <cell r="Y50">
            <v>1948016</v>
          </cell>
          <cell r="Z50">
            <v>3065705</v>
          </cell>
          <cell r="AA50">
            <v>4025763</v>
          </cell>
          <cell r="AB50">
            <v>4982414</v>
          </cell>
          <cell r="AC50">
            <v>6766646</v>
          </cell>
          <cell r="AD50">
            <v>8912111</v>
          </cell>
          <cell r="AE50">
            <v>11105116</v>
          </cell>
          <cell r="AF50">
            <v>13280414</v>
          </cell>
          <cell r="AG50">
            <v>15325610</v>
          </cell>
          <cell r="AH50">
            <v>17449394</v>
          </cell>
          <cell r="AI50">
            <v>19858336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3177758</v>
          </cell>
          <cell r="F52">
            <v>5864708</v>
          </cell>
          <cell r="G52">
            <v>8715486</v>
          </cell>
          <cell r="H52">
            <v>11340049</v>
          </cell>
          <cell r="I52">
            <v>14328295</v>
          </cell>
          <cell r="J52">
            <v>17008378</v>
          </cell>
          <cell r="K52">
            <v>19702446</v>
          </cell>
          <cell r="L52">
            <v>22557609</v>
          </cell>
          <cell r="M52">
            <v>25126422</v>
          </cell>
          <cell r="N52">
            <v>27733409</v>
          </cell>
          <cell r="O52">
            <v>30409428</v>
          </cell>
          <cell r="P52">
            <v>33472841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1632623</v>
          </cell>
          <cell r="Y52">
            <v>2875126</v>
          </cell>
          <cell r="Z52">
            <v>4442066</v>
          </cell>
          <cell r="AA52">
            <v>5833676</v>
          </cell>
          <cell r="AB52">
            <v>7184944</v>
          </cell>
          <cell r="AC52">
            <v>9360969</v>
          </cell>
          <cell r="AD52">
            <v>11895779</v>
          </cell>
          <cell r="AE52">
            <v>14504020</v>
          </cell>
          <cell r="AF52">
            <v>17086382</v>
          </cell>
          <cell r="AG52">
            <v>19539833</v>
          </cell>
          <cell r="AH52">
            <v>22094730</v>
          </cell>
          <cell r="AI52">
            <v>24947128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17860</v>
          </cell>
          <cell r="F55">
            <v>17897</v>
          </cell>
          <cell r="G55">
            <v>17939</v>
          </cell>
          <cell r="H55">
            <v>17981</v>
          </cell>
          <cell r="I55">
            <v>17995</v>
          </cell>
          <cell r="J55">
            <v>17999</v>
          </cell>
          <cell r="K55">
            <v>18001</v>
          </cell>
          <cell r="L55">
            <v>18008</v>
          </cell>
          <cell r="M55">
            <v>18020</v>
          </cell>
          <cell r="N55">
            <v>18033</v>
          </cell>
          <cell r="O55">
            <v>18057</v>
          </cell>
          <cell r="P55">
            <v>18082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3473656.5061944607</v>
          </cell>
          <cell r="F56">
            <v>6715008.319588705</v>
          </cell>
          <cell r="G56">
            <v>10173164.113904335</v>
          </cell>
          <cell r="H56">
            <v>13534374.59617788</v>
          </cell>
          <cell r="I56">
            <v>16929083.699604489</v>
          </cell>
          <cell r="J56">
            <v>20238846.465022281</v>
          </cell>
          <cell r="K56">
            <v>22755061.260372158</v>
          </cell>
          <cell r="L56">
            <v>26124097.878678352</v>
          </cell>
          <cell r="M56">
            <v>29394020.3585767</v>
          </cell>
          <cell r="N56">
            <v>32797260.000276297</v>
          </cell>
          <cell r="O56">
            <v>36140775.465930417</v>
          </cell>
          <cell r="P56">
            <v>39578232.787606604</v>
          </cell>
        </row>
        <row r="57">
          <cell r="A57">
            <v>54</v>
          </cell>
          <cell r="B57" t="str">
            <v>Cumulative YTD Budget Volume (Dts) * 1.0269</v>
          </cell>
          <cell r="E57">
            <v>3567098</v>
          </cell>
          <cell r="F57">
            <v>6895642</v>
          </cell>
          <cell r="G57">
            <v>10446822</v>
          </cell>
          <cell r="H57">
            <v>13898449</v>
          </cell>
          <cell r="I57">
            <v>17384476</v>
          </cell>
          <cell r="J57">
            <v>20783271</v>
          </cell>
          <cell r="K57">
            <v>23367172</v>
          </cell>
          <cell r="L57">
            <v>26826836</v>
          </cell>
          <cell r="M57">
            <v>30184719</v>
          </cell>
          <cell r="N57">
            <v>33679506</v>
          </cell>
          <cell r="O57">
            <v>37112962</v>
          </cell>
          <cell r="P57">
            <v>40642887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57653</v>
          </cell>
          <cell r="D5">
            <v>691835</v>
          </cell>
          <cell r="E5">
            <v>56743</v>
          </cell>
          <cell r="F5">
            <v>56797</v>
          </cell>
          <cell r="G5">
            <v>56947</v>
          </cell>
          <cell r="H5">
            <v>57433</v>
          </cell>
          <cell r="I5">
            <v>57424</v>
          </cell>
          <cell r="J5">
            <v>57654</v>
          </cell>
          <cell r="K5">
            <v>58301</v>
          </cell>
          <cell r="L5">
            <v>57785</v>
          </cell>
          <cell r="M5">
            <v>57910</v>
          </cell>
          <cell r="N5">
            <v>58017</v>
          </cell>
          <cell r="O5">
            <v>58253</v>
          </cell>
          <cell r="P5">
            <v>58571</v>
          </cell>
          <cell r="T5">
            <v>2</v>
          </cell>
          <cell r="U5" t="str">
            <v>Residential</v>
          </cell>
          <cell r="V5"/>
          <cell r="W5"/>
          <cell r="X5">
            <v>55186</v>
          </cell>
          <cell r="Y5">
            <v>55193</v>
          </cell>
          <cell r="Z5">
            <v>55462</v>
          </cell>
          <cell r="AA5">
            <v>55529</v>
          </cell>
          <cell r="AB5">
            <v>55524</v>
          </cell>
          <cell r="AC5">
            <v>55687</v>
          </cell>
          <cell r="AD5">
            <v>55633</v>
          </cell>
          <cell r="AE5">
            <v>55787</v>
          </cell>
          <cell r="AF5">
            <v>55868</v>
          </cell>
          <cell r="AG5">
            <v>55903</v>
          </cell>
          <cell r="AH5">
            <v>56227</v>
          </cell>
          <cell r="AI5">
            <v>56414</v>
          </cell>
        </row>
        <row r="6">
          <cell r="A6">
            <v>3</v>
          </cell>
          <cell r="B6" t="str">
            <v>Commercial</v>
          </cell>
          <cell r="C6">
            <v>3932</v>
          </cell>
          <cell r="D6">
            <v>47181</v>
          </cell>
          <cell r="E6">
            <v>3892</v>
          </cell>
          <cell r="F6">
            <v>3901</v>
          </cell>
          <cell r="G6">
            <v>3897</v>
          </cell>
          <cell r="H6">
            <v>3942</v>
          </cell>
          <cell r="I6">
            <v>3934</v>
          </cell>
          <cell r="J6">
            <v>3935</v>
          </cell>
          <cell r="K6">
            <v>3921</v>
          </cell>
          <cell r="L6">
            <v>3940</v>
          </cell>
          <cell r="M6">
            <v>3941</v>
          </cell>
          <cell r="N6">
            <v>3957</v>
          </cell>
          <cell r="O6">
            <v>3960</v>
          </cell>
          <cell r="P6">
            <v>3961</v>
          </cell>
          <cell r="T6">
            <v>3</v>
          </cell>
          <cell r="U6" t="str">
            <v>Commercial</v>
          </cell>
          <cell r="V6"/>
          <cell r="W6"/>
          <cell r="X6">
            <v>3934</v>
          </cell>
          <cell r="Y6">
            <v>3919</v>
          </cell>
          <cell r="Z6">
            <v>3929</v>
          </cell>
          <cell r="AA6">
            <v>3942</v>
          </cell>
          <cell r="AB6">
            <v>3933</v>
          </cell>
          <cell r="AC6">
            <v>3909</v>
          </cell>
          <cell r="AD6">
            <v>3902</v>
          </cell>
          <cell r="AE6">
            <v>3915</v>
          </cell>
          <cell r="AF6">
            <v>3920</v>
          </cell>
          <cell r="AG6">
            <v>3885</v>
          </cell>
          <cell r="AH6">
            <v>3906</v>
          </cell>
          <cell r="AI6">
            <v>3889</v>
          </cell>
        </row>
        <row r="7">
          <cell r="A7">
            <v>4</v>
          </cell>
          <cell r="B7" t="str">
            <v xml:space="preserve">Industrial </v>
          </cell>
          <cell r="C7">
            <v>2436</v>
          </cell>
          <cell r="D7">
            <v>29234</v>
          </cell>
          <cell r="E7">
            <v>2409</v>
          </cell>
          <cell r="F7">
            <v>2415</v>
          </cell>
          <cell r="G7">
            <v>2421</v>
          </cell>
          <cell r="H7">
            <v>2433</v>
          </cell>
          <cell r="I7">
            <v>2431</v>
          </cell>
          <cell r="J7">
            <v>2440</v>
          </cell>
          <cell r="K7">
            <v>2441</v>
          </cell>
          <cell r="L7">
            <v>2436</v>
          </cell>
          <cell r="M7">
            <v>2443</v>
          </cell>
          <cell r="N7">
            <v>2445</v>
          </cell>
          <cell r="O7">
            <v>2455</v>
          </cell>
          <cell r="P7">
            <v>2465</v>
          </cell>
          <cell r="T7">
            <v>4</v>
          </cell>
          <cell r="U7" t="str">
            <v>Industrial firm</v>
          </cell>
          <cell r="V7"/>
          <cell r="W7"/>
          <cell r="X7">
            <v>2233</v>
          </cell>
          <cell r="Y7">
            <v>2250</v>
          </cell>
          <cell r="Z7">
            <v>2270</v>
          </cell>
          <cell r="AA7">
            <v>2277</v>
          </cell>
          <cell r="AB7">
            <v>2278</v>
          </cell>
          <cell r="AC7">
            <v>2305</v>
          </cell>
          <cell r="AD7">
            <v>2314</v>
          </cell>
          <cell r="AE7">
            <v>2312</v>
          </cell>
          <cell r="AF7">
            <v>2360</v>
          </cell>
          <cell r="AG7">
            <v>2357</v>
          </cell>
          <cell r="AH7">
            <v>2379</v>
          </cell>
          <cell r="AI7">
            <v>2403</v>
          </cell>
        </row>
        <row r="8">
          <cell r="A8">
            <v>5</v>
          </cell>
          <cell r="B8" t="str">
            <v>Other</v>
          </cell>
          <cell r="C8">
            <v>12</v>
          </cell>
          <cell r="D8">
            <v>144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12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T8">
            <v>5</v>
          </cell>
          <cell r="U8" t="str">
            <v>Other</v>
          </cell>
          <cell r="V8"/>
          <cell r="W8"/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12</v>
          </cell>
          <cell r="AC8">
            <v>12</v>
          </cell>
          <cell r="AD8">
            <v>12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  <cell r="AI8">
            <v>12</v>
          </cell>
        </row>
        <row r="9">
          <cell r="A9">
            <v>6</v>
          </cell>
          <cell r="B9" t="str">
            <v>Total customers</v>
          </cell>
          <cell r="C9">
            <v>64033</v>
          </cell>
          <cell r="D9">
            <v>768394</v>
          </cell>
          <cell r="E9">
            <v>63056</v>
          </cell>
          <cell r="F9">
            <v>63125</v>
          </cell>
          <cell r="G9">
            <v>63277</v>
          </cell>
          <cell r="H9">
            <v>63820</v>
          </cell>
          <cell r="I9">
            <v>63801</v>
          </cell>
          <cell r="J9">
            <v>64041</v>
          </cell>
          <cell r="K9">
            <v>64675</v>
          </cell>
          <cell r="L9">
            <v>64173</v>
          </cell>
          <cell r="M9">
            <v>64306</v>
          </cell>
          <cell r="N9">
            <v>64431</v>
          </cell>
          <cell r="O9">
            <v>64680</v>
          </cell>
          <cell r="P9">
            <v>65009</v>
          </cell>
          <cell r="T9">
            <v>6</v>
          </cell>
          <cell r="U9" t="str">
            <v>Total customers</v>
          </cell>
          <cell r="V9"/>
          <cell r="W9"/>
          <cell r="X9">
            <v>61363</v>
          </cell>
          <cell r="Y9">
            <v>61372</v>
          </cell>
          <cell r="Z9">
            <v>61671</v>
          </cell>
          <cell r="AA9">
            <v>61758</v>
          </cell>
          <cell r="AB9">
            <v>61747</v>
          </cell>
          <cell r="AC9">
            <v>61913</v>
          </cell>
          <cell r="AD9">
            <v>61861</v>
          </cell>
          <cell r="AE9">
            <v>62026</v>
          </cell>
          <cell r="AF9">
            <v>62160</v>
          </cell>
          <cell r="AG9">
            <v>62157</v>
          </cell>
          <cell r="AH9">
            <v>62524</v>
          </cell>
          <cell r="AI9">
            <v>62718</v>
          </cell>
        </row>
        <row r="10">
          <cell r="A10">
            <v>7</v>
          </cell>
          <cell r="T10">
            <v>7</v>
          </cell>
          <cell r="X10"/>
        </row>
        <row r="11">
          <cell r="A11">
            <v>8</v>
          </cell>
          <cell r="B11" t="str">
            <v>Volume - 2019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13923836.732000332</v>
          </cell>
          <cell r="D12">
            <v>1355909.7022105688</v>
          </cell>
          <cell r="E12">
            <v>192071.13448242616</v>
          </cell>
          <cell r="F12">
            <v>166570.24832018753</v>
          </cell>
          <cell r="G12">
            <v>133447.13214529294</v>
          </cell>
          <cell r="H12">
            <v>126655.13019768459</v>
          </cell>
          <cell r="I12">
            <v>101306.12133606451</v>
          </cell>
          <cell r="J12">
            <v>80759.713701434695</v>
          </cell>
          <cell r="K12">
            <v>66526.488460416746</v>
          </cell>
          <cell r="L12">
            <v>68282.268964847652</v>
          </cell>
          <cell r="M12">
            <v>74093.291459736181</v>
          </cell>
          <cell r="N12">
            <v>77592.879540367125</v>
          </cell>
          <cell r="O12">
            <v>103955.04528191978</v>
          </cell>
          <cell r="P12">
            <v>164650.24832019059</v>
          </cell>
          <cell r="T12">
            <v>9</v>
          </cell>
          <cell r="U12" t="str">
            <v>Residential</v>
          </cell>
          <cell r="V12"/>
          <cell r="W12">
            <v>1357274.1786804965</v>
          </cell>
          <cell r="X12">
            <v>216758.88596747493</v>
          </cell>
          <cell r="Y12">
            <v>152946.73288538319</v>
          </cell>
          <cell r="Z12">
            <v>139654.2993475509</v>
          </cell>
          <cell r="AA12">
            <v>136000.19476093096</v>
          </cell>
          <cell r="AB12">
            <v>98294.770669003788</v>
          </cell>
          <cell r="AC12">
            <v>86363.22913623527</v>
          </cell>
          <cell r="AD12">
            <v>69725.679228746711</v>
          </cell>
          <cell r="AE12">
            <v>66381.341902814296</v>
          </cell>
          <cell r="AF12">
            <v>72494.400623234964</v>
          </cell>
          <cell r="AG12">
            <v>66786.860538513967</v>
          </cell>
          <cell r="AH12">
            <v>99214.169831533785</v>
          </cell>
          <cell r="AI12">
            <v>152653.61378907392</v>
          </cell>
        </row>
        <row r="13">
          <cell r="A13">
            <v>10</v>
          </cell>
          <cell r="B13" t="str">
            <v>Commercial</v>
          </cell>
          <cell r="C13">
            <v>17145751.526080001</v>
          </cell>
          <cell r="D13">
            <v>1669661.2645905153</v>
          </cell>
          <cell r="E13">
            <v>178139.71633070408</v>
          </cell>
          <cell r="F13">
            <v>167460.37559645518</v>
          </cell>
          <cell r="G13">
            <v>145242.34462946738</v>
          </cell>
          <cell r="H13">
            <v>152139.40452624412</v>
          </cell>
          <cell r="I13">
            <v>134401.06534229236</v>
          </cell>
          <cell r="J13">
            <v>128841.43344045184</v>
          </cell>
          <cell r="K13">
            <v>105840.34959587113</v>
          </cell>
          <cell r="L13">
            <v>118874.66452429639</v>
          </cell>
          <cell r="M13">
            <v>110982.10633946826</v>
          </cell>
          <cell r="N13">
            <v>118646.66179764333</v>
          </cell>
          <cell r="O13">
            <v>141232.77631707085</v>
          </cell>
          <cell r="P13">
            <v>167860.36615055028</v>
          </cell>
          <cell r="T13">
            <v>10</v>
          </cell>
          <cell r="U13" t="str">
            <v>Commercial</v>
          </cell>
          <cell r="W13">
            <v>1676967.2903437531</v>
          </cell>
          <cell r="X13">
            <v>190995.81263998442</v>
          </cell>
          <cell r="Y13">
            <v>173620.11880416787</v>
          </cell>
          <cell r="Z13">
            <v>156898.04265264384</v>
          </cell>
          <cell r="AA13">
            <v>157502.97010419707</v>
          </cell>
          <cell r="AB13">
            <v>134778.55682150158</v>
          </cell>
          <cell r="AC13">
            <v>128588.95705521473</v>
          </cell>
          <cell r="AD13">
            <v>107962.31375985977</v>
          </cell>
          <cell r="AE13">
            <v>109722.07615152402</v>
          </cell>
          <cell r="AF13">
            <v>110575.32379004773</v>
          </cell>
          <cell r="AG13">
            <v>103195.66107118512</v>
          </cell>
          <cell r="AH13">
            <v>137727.76024929405</v>
          </cell>
          <cell r="AI13">
            <v>165399.69724413284</v>
          </cell>
        </row>
        <row r="14">
          <cell r="A14">
            <v>11</v>
          </cell>
          <cell r="B14" t="str">
            <v xml:space="preserve">Industrial </v>
          </cell>
          <cell r="C14">
            <v>49687458.389999993</v>
          </cell>
          <cell r="D14">
            <v>4838587.8264680095</v>
          </cell>
          <cell r="E14">
            <v>472789.75557503139</v>
          </cell>
          <cell r="F14">
            <v>423675.35884701525</v>
          </cell>
          <cell r="G14">
            <v>415480.99522835726</v>
          </cell>
          <cell r="H14">
            <v>415197.91118901531</v>
          </cell>
          <cell r="I14">
            <v>401987.53724802763</v>
          </cell>
          <cell r="J14">
            <v>377452.39166423201</v>
          </cell>
          <cell r="K14">
            <v>359300.43529068062</v>
          </cell>
          <cell r="L14">
            <v>368868.90933878673</v>
          </cell>
          <cell r="M14">
            <v>356998.61135456234</v>
          </cell>
          <cell r="N14">
            <v>382569.9405979162</v>
          </cell>
          <cell r="O14">
            <v>414027.16135943128</v>
          </cell>
          <cell r="P14">
            <v>450238.81877495337</v>
          </cell>
          <cell r="T14">
            <v>11</v>
          </cell>
          <cell r="U14" t="str">
            <v>Industrial firm</v>
          </cell>
          <cell r="W14">
            <v>4772613.4965040414</v>
          </cell>
          <cell r="X14">
            <v>448369.94838835328</v>
          </cell>
          <cell r="Y14">
            <v>408576.20021423697</v>
          </cell>
          <cell r="Z14">
            <v>413411.04294478527</v>
          </cell>
          <cell r="AA14">
            <v>421346.09017431102</v>
          </cell>
          <cell r="AB14">
            <v>400164.47560619342</v>
          </cell>
          <cell r="AC14">
            <v>391801.2464699581</v>
          </cell>
          <cell r="AD14">
            <v>367170.61057551851</v>
          </cell>
          <cell r="AE14">
            <v>368403.44726847793</v>
          </cell>
          <cell r="AF14">
            <v>365115.39585159218</v>
          </cell>
          <cell r="AG14">
            <v>366462.4</v>
          </cell>
          <cell r="AH14">
            <v>397902.63901061448</v>
          </cell>
          <cell r="AI14">
            <v>423890</v>
          </cell>
        </row>
        <row r="15">
          <cell r="A15">
            <v>12</v>
          </cell>
          <cell r="B15" t="str">
            <v>Other</v>
          </cell>
          <cell r="C15">
            <v>25749247.859999999</v>
          </cell>
          <cell r="D15">
            <v>2507473.7423312883</v>
          </cell>
          <cell r="E15">
            <v>220015.97078586035</v>
          </cell>
          <cell r="F15">
            <v>100866.47521667153</v>
          </cell>
          <cell r="G15">
            <v>219959.99532573766</v>
          </cell>
          <cell r="H15">
            <v>196594.48923945855</v>
          </cell>
          <cell r="I15">
            <v>204674.91089687409</v>
          </cell>
          <cell r="J15">
            <v>216191.90865712339</v>
          </cell>
          <cell r="K15">
            <v>191827.10127568411</v>
          </cell>
          <cell r="L15">
            <v>194154.7966695881</v>
          </cell>
          <cell r="M15">
            <v>182006.0778069919</v>
          </cell>
          <cell r="N15">
            <v>250776.30411919369</v>
          </cell>
          <cell r="O15">
            <v>246778.57590807282</v>
          </cell>
          <cell r="P15">
            <v>283627.13643003214</v>
          </cell>
          <cell r="T15">
            <v>12</v>
          </cell>
          <cell r="U15" t="str">
            <v>Other</v>
          </cell>
          <cell r="W15">
            <v>2277547.9507108778</v>
          </cell>
          <cell r="X15">
            <v>194736.14383094752</v>
          </cell>
          <cell r="Y15">
            <v>101655.32671146168</v>
          </cell>
          <cell r="Z15">
            <v>210479.89093387866</v>
          </cell>
          <cell r="AA15">
            <v>165609.0174311033</v>
          </cell>
          <cell r="AB15">
            <v>165121.14129905539</v>
          </cell>
          <cell r="AC15">
            <v>121251.44882656538</v>
          </cell>
          <cell r="AD15">
            <v>128508.77797253871</v>
          </cell>
          <cell r="AE15">
            <v>154373.17908267601</v>
          </cell>
          <cell r="AF15">
            <v>140698.95121238678</v>
          </cell>
          <cell r="AG15">
            <v>212772.25716720225</v>
          </cell>
          <cell r="AH15">
            <v>203879.03593339177</v>
          </cell>
          <cell r="AI15">
            <v>478462.78030966991</v>
          </cell>
        </row>
        <row r="16">
          <cell r="A16">
            <v>13</v>
          </cell>
          <cell r="B16" t="str">
            <v>Total Deliveries</v>
          </cell>
          <cell r="C16"/>
          <cell r="D16">
            <v>10371632.535600383</v>
          </cell>
          <cell r="E16">
            <v>1063016.5771740221</v>
          </cell>
          <cell r="F16">
            <v>858572.45798032964</v>
          </cell>
          <cell r="G16">
            <v>914130.46732885519</v>
          </cell>
          <cell r="H16">
            <v>890586.93515240261</v>
          </cell>
          <cell r="I16">
            <v>842369.6348232585</v>
          </cell>
          <cell r="J16">
            <v>803245.44746324187</v>
          </cell>
          <cell r="K16">
            <v>723494.37462265254</v>
          </cell>
          <cell r="L16">
            <v>750180.63949751889</v>
          </cell>
          <cell r="M16">
            <v>724080.08696075866</v>
          </cell>
          <cell r="N16">
            <v>829585.78605512041</v>
          </cell>
          <cell r="O16">
            <v>905993.5588664948</v>
          </cell>
          <cell r="P16">
            <v>1066376.5696757264</v>
          </cell>
          <cell r="T16">
            <v>13</v>
          </cell>
          <cell r="U16" t="str">
            <v>Total Deliveries</v>
          </cell>
          <cell r="V16"/>
          <cell r="W16">
            <v>10084402.916239168</v>
          </cell>
          <cell r="X16">
            <v>1050860.7908267602</v>
          </cell>
          <cell r="Y16">
            <v>836798.37861524965</v>
          </cell>
          <cell r="Z16">
            <v>920443.27587885875</v>
          </cell>
          <cell r="AA16">
            <v>880458.27247054235</v>
          </cell>
          <cell r="AB16">
            <v>798358.94439575425</v>
          </cell>
          <cell r="AC16">
            <v>728004.8814879735</v>
          </cell>
          <cell r="AD16">
            <v>673367.38153666374</v>
          </cell>
          <cell r="AE16">
            <v>698880.04440549226</v>
          </cell>
          <cell r="AF16">
            <v>688884.0714772616</v>
          </cell>
          <cell r="AG16">
            <v>749217.17877690145</v>
          </cell>
          <cell r="AH16">
            <v>838723.60502483405</v>
          </cell>
          <cell r="AI16">
            <v>1220406.0913428767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</row>
        <row r="18">
          <cell r="A18">
            <v>15</v>
          </cell>
          <cell r="B18" t="str">
            <v>DATA INPUT AREA</v>
          </cell>
          <cell r="T18">
            <v>15</v>
          </cell>
          <cell r="X18"/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  <cell r="X19"/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56424</v>
          </cell>
          <cell r="D21">
            <v>677083</v>
          </cell>
          <cell r="E21">
            <v>55510</v>
          </cell>
          <cell r="F21">
            <v>55562</v>
          </cell>
          <cell r="G21">
            <v>55710</v>
          </cell>
          <cell r="H21">
            <v>56193</v>
          </cell>
          <cell r="I21">
            <v>56194</v>
          </cell>
          <cell r="J21">
            <v>56425</v>
          </cell>
          <cell r="K21">
            <v>57078</v>
          </cell>
          <cell r="L21">
            <v>56562</v>
          </cell>
          <cell r="M21">
            <v>56690</v>
          </cell>
          <cell r="N21">
            <v>56787</v>
          </cell>
          <cell r="O21">
            <v>57028</v>
          </cell>
          <cell r="P21">
            <v>57344</v>
          </cell>
          <cell r="T21">
            <v>18</v>
          </cell>
          <cell r="U21" t="str">
            <v>Residential</v>
          </cell>
          <cell r="V21"/>
          <cell r="W21"/>
          <cell r="X21">
            <v>53933</v>
          </cell>
          <cell r="Y21">
            <v>53941</v>
          </cell>
          <cell r="Z21">
            <v>54205</v>
          </cell>
          <cell r="AA21">
            <v>54282</v>
          </cell>
          <cell r="AB21">
            <v>54288</v>
          </cell>
          <cell r="AC21">
            <v>54459</v>
          </cell>
          <cell r="AD21">
            <v>54403</v>
          </cell>
          <cell r="AE21">
            <v>54557</v>
          </cell>
          <cell r="AF21">
            <v>54637</v>
          </cell>
          <cell r="AG21">
            <v>54677</v>
          </cell>
          <cell r="AH21">
            <v>54995</v>
          </cell>
          <cell r="AI21">
            <v>55186</v>
          </cell>
        </row>
        <row r="22">
          <cell r="A22">
            <v>19</v>
          </cell>
          <cell r="B22" t="str">
            <v>Commercial Small</v>
          </cell>
          <cell r="C22">
            <v>3218</v>
          </cell>
          <cell r="D22">
            <v>38619</v>
          </cell>
          <cell r="E22">
            <v>3176</v>
          </cell>
          <cell r="F22">
            <v>3185</v>
          </cell>
          <cell r="G22">
            <v>3181</v>
          </cell>
          <cell r="H22">
            <v>3213</v>
          </cell>
          <cell r="I22">
            <v>3215</v>
          </cell>
          <cell r="J22">
            <v>3217</v>
          </cell>
          <cell r="K22">
            <v>3212</v>
          </cell>
          <cell r="L22">
            <v>3222</v>
          </cell>
          <cell r="M22">
            <v>3231</v>
          </cell>
          <cell r="N22">
            <v>3251</v>
          </cell>
          <cell r="O22">
            <v>3258</v>
          </cell>
          <cell r="P22">
            <v>3258</v>
          </cell>
          <cell r="T22">
            <v>19</v>
          </cell>
          <cell r="U22" t="str">
            <v>Commercial Small</v>
          </cell>
          <cell r="X22">
            <v>3181</v>
          </cell>
          <cell r="Y22">
            <v>3167</v>
          </cell>
          <cell r="Z22">
            <v>3179</v>
          </cell>
          <cell r="AA22">
            <v>3189</v>
          </cell>
          <cell r="AB22">
            <v>3186</v>
          </cell>
          <cell r="AC22">
            <v>3167</v>
          </cell>
          <cell r="AD22">
            <v>3176</v>
          </cell>
          <cell r="AE22">
            <v>3176</v>
          </cell>
          <cell r="AF22">
            <v>3182</v>
          </cell>
          <cell r="AG22">
            <v>3144</v>
          </cell>
          <cell r="AH22">
            <v>3153</v>
          </cell>
          <cell r="AI22">
            <v>3153</v>
          </cell>
        </row>
        <row r="23">
          <cell r="A23">
            <v>20</v>
          </cell>
          <cell r="B23" t="str">
            <v>Commercial Large</v>
          </cell>
          <cell r="C23">
            <v>656</v>
          </cell>
          <cell r="D23">
            <v>7873</v>
          </cell>
          <cell r="E23">
            <v>666</v>
          </cell>
          <cell r="F23">
            <v>666</v>
          </cell>
          <cell r="G23">
            <v>652</v>
          </cell>
          <cell r="H23">
            <v>663</v>
          </cell>
          <cell r="I23">
            <v>659</v>
          </cell>
          <cell r="J23">
            <v>658</v>
          </cell>
          <cell r="K23">
            <v>650</v>
          </cell>
          <cell r="L23">
            <v>658</v>
          </cell>
          <cell r="M23">
            <v>655</v>
          </cell>
          <cell r="N23">
            <v>651</v>
          </cell>
          <cell r="O23">
            <v>647</v>
          </cell>
          <cell r="P23">
            <v>648</v>
          </cell>
          <cell r="T23">
            <v>20</v>
          </cell>
          <cell r="U23" t="str">
            <v>Commercial Large</v>
          </cell>
          <cell r="X23">
            <v>676</v>
          </cell>
          <cell r="Y23">
            <v>677</v>
          </cell>
          <cell r="Z23">
            <v>675</v>
          </cell>
          <cell r="AA23">
            <v>676</v>
          </cell>
          <cell r="AB23">
            <v>673</v>
          </cell>
          <cell r="AC23">
            <v>668</v>
          </cell>
          <cell r="AD23">
            <v>652</v>
          </cell>
          <cell r="AE23">
            <v>665</v>
          </cell>
          <cell r="AF23">
            <v>665</v>
          </cell>
          <cell r="AG23">
            <v>669</v>
          </cell>
          <cell r="AH23">
            <v>685</v>
          </cell>
          <cell r="AI23">
            <v>672</v>
          </cell>
        </row>
        <row r="24">
          <cell r="A24">
            <v>21</v>
          </cell>
          <cell r="B24" t="str">
            <v>Outdoor Lights</v>
          </cell>
          <cell r="C24">
            <v>34</v>
          </cell>
          <cell r="D24">
            <v>405</v>
          </cell>
          <cell r="E24">
            <v>26</v>
          </cell>
          <cell r="F24">
            <v>26</v>
          </cell>
          <cell r="G24">
            <v>40</v>
          </cell>
          <cell r="H24">
            <v>42</v>
          </cell>
          <cell r="I24">
            <v>36</v>
          </cell>
          <cell r="J24">
            <v>36</v>
          </cell>
          <cell r="K24">
            <v>35</v>
          </cell>
          <cell r="L24">
            <v>36</v>
          </cell>
          <cell r="M24">
            <v>32</v>
          </cell>
          <cell r="N24">
            <v>32</v>
          </cell>
          <cell r="O24">
            <v>32</v>
          </cell>
          <cell r="P24">
            <v>32</v>
          </cell>
          <cell r="T24">
            <v>21</v>
          </cell>
          <cell r="U24" t="str">
            <v>Outdoor Lights</v>
          </cell>
          <cell r="X24">
            <v>53</v>
          </cell>
          <cell r="Y24">
            <v>51</v>
          </cell>
          <cell r="Z24">
            <v>51</v>
          </cell>
          <cell r="AA24">
            <v>52</v>
          </cell>
          <cell r="AB24">
            <v>50</v>
          </cell>
          <cell r="AC24">
            <v>50</v>
          </cell>
          <cell r="AD24">
            <v>50</v>
          </cell>
          <cell r="AE24">
            <v>50</v>
          </cell>
          <cell r="AF24">
            <v>49</v>
          </cell>
          <cell r="AG24">
            <v>48</v>
          </cell>
          <cell r="AH24">
            <v>44</v>
          </cell>
          <cell r="AI24">
            <v>40</v>
          </cell>
        </row>
        <row r="25">
          <cell r="A25">
            <v>22</v>
          </cell>
          <cell r="B25" t="str">
            <v>Interdepartmental/Special Contracts</v>
          </cell>
          <cell r="C25">
            <v>5</v>
          </cell>
          <cell r="D25">
            <v>60</v>
          </cell>
          <cell r="E25">
            <v>5</v>
          </cell>
          <cell r="F25">
            <v>5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T25">
            <v>22</v>
          </cell>
          <cell r="U25" t="str">
            <v>Interdepartmental/Special Contracts</v>
          </cell>
          <cell r="X25">
            <v>3</v>
          </cell>
          <cell r="Y25">
            <v>3</v>
          </cell>
          <cell r="Z25">
            <v>3</v>
          </cell>
          <cell r="AA25">
            <v>3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  <cell r="AF25">
            <v>5</v>
          </cell>
          <cell r="AG25">
            <v>5</v>
          </cell>
          <cell r="AH25">
            <v>5</v>
          </cell>
          <cell r="AI25">
            <v>5</v>
          </cell>
        </row>
        <row r="26">
          <cell r="A26">
            <v>23</v>
          </cell>
          <cell r="B26" t="str">
            <v>Commercial Small Transp</v>
          </cell>
          <cell r="C26">
            <v>1152</v>
          </cell>
          <cell r="D26">
            <v>13825</v>
          </cell>
          <cell r="E26">
            <v>1144</v>
          </cell>
          <cell r="F26">
            <v>1145</v>
          </cell>
          <cell r="G26">
            <v>1145</v>
          </cell>
          <cell r="H26">
            <v>1150</v>
          </cell>
          <cell r="I26">
            <v>1144</v>
          </cell>
          <cell r="J26">
            <v>1144</v>
          </cell>
          <cell r="K26">
            <v>1157</v>
          </cell>
          <cell r="L26">
            <v>1157</v>
          </cell>
          <cell r="M26">
            <v>1157</v>
          </cell>
          <cell r="N26">
            <v>1157</v>
          </cell>
          <cell r="O26">
            <v>1158</v>
          </cell>
          <cell r="P26">
            <v>1167</v>
          </cell>
          <cell r="T26">
            <v>23</v>
          </cell>
          <cell r="U26" t="str">
            <v>Commercial Small Transp</v>
          </cell>
          <cell r="X26">
            <v>1000</v>
          </cell>
          <cell r="Y26">
            <v>1015</v>
          </cell>
          <cell r="Z26">
            <v>1025</v>
          </cell>
          <cell r="AA26">
            <v>1028</v>
          </cell>
          <cell r="AB26">
            <v>1035</v>
          </cell>
          <cell r="AC26">
            <v>1053</v>
          </cell>
          <cell r="AD26">
            <v>1056</v>
          </cell>
          <cell r="AE26">
            <v>1056</v>
          </cell>
          <cell r="AF26">
            <v>1109</v>
          </cell>
          <cell r="AG26">
            <v>1114</v>
          </cell>
          <cell r="AH26">
            <v>1134</v>
          </cell>
          <cell r="AI26">
            <v>1145</v>
          </cell>
        </row>
        <row r="27">
          <cell r="A27">
            <v>24</v>
          </cell>
          <cell r="B27" t="str">
            <v>Commercial Large Transp</v>
          </cell>
          <cell r="C27">
            <v>1244</v>
          </cell>
          <cell r="D27">
            <v>14923</v>
          </cell>
          <cell r="E27">
            <v>1225</v>
          </cell>
          <cell r="F27">
            <v>1231</v>
          </cell>
          <cell r="G27">
            <v>1237</v>
          </cell>
          <cell r="H27">
            <v>1244</v>
          </cell>
          <cell r="I27">
            <v>1247</v>
          </cell>
          <cell r="J27">
            <v>1255</v>
          </cell>
          <cell r="K27">
            <v>1243</v>
          </cell>
          <cell r="L27">
            <v>1238</v>
          </cell>
          <cell r="M27">
            <v>1245</v>
          </cell>
          <cell r="N27">
            <v>1247</v>
          </cell>
          <cell r="O27">
            <v>1255</v>
          </cell>
          <cell r="P27">
            <v>1256</v>
          </cell>
          <cell r="T27">
            <v>24</v>
          </cell>
          <cell r="U27" t="str">
            <v>Commercial Large Transp</v>
          </cell>
          <cell r="X27">
            <v>1195</v>
          </cell>
          <cell r="Y27">
            <v>1198</v>
          </cell>
          <cell r="Z27">
            <v>1205</v>
          </cell>
          <cell r="AA27">
            <v>1209</v>
          </cell>
          <cell r="AB27">
            <v>1203</v>
          </cell>
          <cell r="AC27">
            <v>1213</v>
          </cell>
          <cell r="AD27">
            <v>1219</v>
          </cell>
          <cell r="AE27">
            <v>1217</v>
          </cell>
          <cell r="AF27">
            <v>1211</v>
          </cell>
          <cell r="AG27">
            <v>1203</v>
          </cell>
          <cell r="AH27">
            <v>1205</v>
          </cell>
          <cell r="AI27">
            <v>1219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216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18</v>
          </cell>
          <cell r="J28">
            <v>18</v>
          </cell>
          <cell r="K28">
            <v>18</v>
          </cell>
          <cell r="L28">
            <v>18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T28">
            <v>25</v>
          </cell>
          <cell r="U28" t="str">
            <v>Interruptible Transp</v>
          </cell>
          <cell r="X28">
            <v>17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18</v>
          </cell>
          <cell r="AG28">
            <v>18</v>
          </cell>
          <cell r="AH28">
            <v>18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/>
          <cell r="J29"/>
          <cell r="K29"/>
          <cell r="L29"/>
          <cell r="M29"/>
          <cell r="N29"/>
          <cell r="O29"/>
          <cell r="P29"/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/>
        </row>
        <row r="30">
          <cell r="A30">
            <v>27</v>
          </cell>
          <cell r="D30">
            <v>753004</v>
          </cell>
          <cell r="E30">
            <v>61770</v>
          </cell>
          <cell r="F30">
            <v>61838</v>
          </cell>
          <cell r="G30">
            <v>61988</v>
          </cell>
          <cell r="H30">
            <v>62528</v>
          </cell>
          <cell r="I30">
            <v>62518</v>
          </cell>
          <cell r="J30">
            <v>62758</v>
          </cell>
          <cell r="K30">
            <v>63398</v>
          </cell>
          <cell r="L30">
            <v>62896</v>
          </cell>
          <cell r="M30">
            <v>63033</v>
          </cell>
          <cell r="N30">
            <v>63148</v>
          </cell>
          <cell r="O30">
            <v>63401</v>
          </cell>
          <cell r="P30">
            <v>63728</v>
          </cell>
          <cell r="T30">
            <v>27</v>
          </cell>
          <cell r="V30"/>
          <cell r="W30"/>
          <cell r="X30">
            <v>60058</v>
          </cell>
          <cell r="Y30">
            <v>60069</v>
          </cell>
          <cell r="Z30">
            <v>60360</v>
          </cell>
          <cell r="AA30">
            <v>60456</v>
          </cell>
          <cell r="AB30">
            <v>60457</v>
          </cell>
          <cell r="AC30">
            <v>60632</v>
          </cell>
          <cell r="AD30">
            <v>60578</v>
          </cell>
          <cell r="AE30">
            <v>60743</v>
          </cell>
          <cell r="AF30">
            <v>60876</v>
          </cell>
          <cell r="AG30">
            <v>60878</v>
          </cell>
          <cell r="AH30">
            <v>61239</v>
          </cell>
          <cell r="AI30">
            <v>61437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  <cell r="X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C33"/>
          <cell r="D33">
            <v>1337976.9967864766</v>
          </cell>
          <cell r="E33">
            <v>190053.27393125274</v>
          </cell>
          <cell r="F33">
            <v>164712.71301976879</v>
          </cell>
          <cell r="G33">
            <v>131889.83250560067</v>
          </cell>
          <cell r="H33">
            <v>125141.66228454796</v>
          </cell>
          <cell r="I33">
            <v>99820.415814592125</v>
          </cell>
          <cell r="J33">
            <v>79489.72149187194</v>
          </cell>
          <cell r="K33">
            <v>65288.573376182641</v>
          </cell>
          <cell r="L33">
            <v>67035.584769697205</v>
          </cell>
          <cell r="M33">
            <v>72850.674846628768</v>
          </cell>
          <cell r="N33">
            <v>76250.234686924712</v>
          </cell>
          <cell r="O33">
            <v>102584.7219787744</v>
          </cell>
          <cell r="P33">
            <v>162859.58808063465</v>
          </cell>
          <cell r="T33">
            <v>30</v>
          </cell>
          <cell r="U33" t="str">
            <v>Residential</v>
          </cell>
          <cell r="V33"/>
          <cell r="W33"/>
          <cell r="X33">
            <v>214312.00701139352</v>
          </cell>
          <cell r="Y33">
            <v>151176.55078391274</v>
          </cell>
          <cell r="Z33">
            <v>138100.98354270135</v>
          </cell>
          <cell r="AA33">
            <v>134431.59022300126</v>
          </cell>
          <cell r="AB33">
            <v>96853.150258058231</v>
          </cell>
          <cell r="AC33">
            <v>84975.75226409582</v>
          </cell>
          <cell r="AD33">
            <v>68469.471224072448</v>
          </cell>
          <cell r="AE33">
            <v>65132.534813516409</v>
          </cell>
          <cell r="AF33">
            <v>71239.458564611938</v>
          </cell>
          <cell r="AG33">
            <v>65561.23</v>
          </cell>
          <cell r="AH33">
            <v>97805.65877885095</v>
          </cell>
          <cell r="AI33">
            <v>150840</v>
          </cell>
        </row>
        <row r="34">
          <cell r="A34">
            <v>31</v>
          </cell>
          <cell r="B34" t="str">
            <v>Commercial Small</v>
          </cell>
          <cell r="C34"/>
          <cell r="D34">
            <v>752931.03320673853</v>
          </cell>
          <cell r="E34">
            <v>83279.096309280299</v>
          </cell>
          <cell r="F34">
            <v>80291.457785568098</v>
          </cell>
          <cell r="G34">
            <v>68153.786152497807</v>
          </cell>
          <cell r="H34">
            <v>67088.342584477592</v>
          </cell>
          <cell r="I34">
            <v>59277.718375693883</v>
          </cell>
          <cell r="J34">
            <v>55529.197584964495</v>
          </cell>
          <cell r="K34">
            <v>41396.28785665601</v>
          </cell>
          <cell r="L34">
            <v>50820.219106047211</v>
          </cell>
          <cell r="M34">
            <v>51858.752556237218</v>
          </cell>
          <cell r="N34">
            <v>53610.395364689779</v>
          </cell>
          <cell r="O34">
            <v>63698.141006914011</v>
          </cell>
          <cell r="P34">
            <v>77927.638523712172</v>
          </cell>
          <cell r="T34">
            <v>31</v>
          </cell>
          <cell r="U34" t="str">
            <v>Commercial Small</v>
          </cell>
          <cell r="X34">
            <v>87081.11792774369</v>
          </cell>
          <cell r="Y34">
            <v>84722.270912454958</v>
          </cell>
          <cell r="Z34">
            <v>70946.343363521271</v>
          </cell>
          <cell r="AA34">
            <v>71746.616028824617</v>
          </cell>
          <cell r="AB34">
            <v>59273.152205667546</v>
          </cell>
          <cell r="AC34">
            <v>57255.526341415913</v>
          </cell>
          <cell r="AD34">
            <v>49309.767260687506</v>
          </cell>
          <cell r="AE34">
            <v>49490.797546012269</v>
          </cell>
          <cell r="AF34">
            <v>50488.363034375303</v>
          </cell>
          <cell r="AG34">
            <v>46247.79</v>
          </cell>
          <cell r="AH34">
            <v>59132.268964845651</v>
          </cell>
          <cell r="AI34">
            <v>76423</v>
          </cell>
        </row>
        <row r="35">
          <cell r="A35">
            <v>32</v>
          </cell>
          <cell r="B35" t="str">
            <v>Commercial Large</v>
          </cell>
          <cell r="C35"/>
          <cell r="D35">
            <v>885700.35154348041</v>
          </cell>
          <cell r="E35">
            <v>92238.215016067828</v>
          </cell>
          <cell r="F35">
            <v>84717.499269646447</v>
          </cell>
          <cell r="G35">
            <v>74826.632583503771</v>
          </cell>
          <cell r="H35">
            <v>82917.128250073103</v>
          </cell>
          <cell r="I35">
            <v>72958.256889667886</v>
          </cell>
          <cell r="J35">
            <v>71234.989775051072</v>
          </cell>
          <cell r="K35">
            <v>62530.391469471229</v>
          </cell>
          <cell r="L35">
            <v>65486.541045866259</v>
          </cell>
          <cell r="M35">
            <v>56565.034570065196</v>
          </cell>
          <cell r="N35">
            <v>62121.919368974573</v>
          </cell>
          <cell r="O35">
            <v>74336.245983055851</v>
          </cell>
          <cell r="P35">
            <v>85767.497322037219</v>
          </cell>
          <cell r="T35">
            <v>32</v>
          </cell>
          <cell r="U35" t="str">
            <v>Commercial Large</v>
          </cell>
          <cell r="X35">
            <v>101053.46187554776</v>
          </cell>
          <cell r="Y35">
            <v>86268.185801928135</v>
          </cell>
          <cell r="Z35">
            <v>83438.212094653805</v>
          </cell>
          <cell r="AA35">
            <v>83213.652741260099</v>
          </cell>
          <cell r="AB35">
            <v>73062.713019768227</v>
          </cell>
          <cell r="AC35">
            <v>69038.660044795019</v>
          </cell>
          <cell r="AD35">
            <v>56448.242282598112</v>
          </cell>
          <cell r="AE35">
            <v>58055.312104391858</v>
          </cell>
          <cell r="AF35">
            <v>57990.359333917615</v>
          </cell>
          <cell r="AG35">
            <v>54771.1</v>
          </cell>
          <cell r="AH35">
            <v>76478.41854124068</v>
          </cell>
          <cell r="AI35">
            <v>86459</v>
          </cell>
        </row>
        <row r="36">
          <cell r="A36">
            <v>33</v>
          </cell>
          <cell r="B36" t="str">
            <v>Outdoor Lights</v>
          </cell>
          <cell r="C36"/>
          <cell r="D36">
            <v>12238.449702989579</v>
          </cell>
          <cell r="E36">
            <v>1156.7065926575128</v>
          </cell>
          <cell r="F36">
            <v>1156.7065926575128</v>
          </cell>
          <cell r="G36">
            <v>1156.7065926575128</v>
          </cell>
          <cell r="H36">
            <v>1022.6136916934462</v>
          </cell>
          <cell r="I36">
            <v>1067.3113253481351</v>
          </cell>
          <cell r="J36">
            <v>1067.3113253481351</v>
          </cell>
          <cell r="K36">
            <v>988.43314831044881</v>
          </cell>
          <cell r="L36">
            <v>911.98948290972839</v>
          </cell>
          <cell r="M36">
            <v>927.66773785178691</v>
          </cell>
          <cell r="N36">
            <v>927.66773785178691</v>
          </cell>
          <cell r="O36">
            <v>927.66773785178691</v>
          </cell>
          <cell r="P36">
            <v>927.66773785178691</v>
          </cell>
          <cell r="T36">
            <v>33</v>
          </cell>
          <cell r="U36" t="str">
            <v>Outdoor Lights</v>
          </cell>
          <cell r="X36">
            <v>1442.1073132729575</v>
          </cell>
          <cell r="Y36">
            <v>1388.4506767942351</v>
          </cell>
          <cell r="Z36">
            <v>1388.4506767942351</v>
          </cell>
          <cell r="AA36">
            <v>1387.3794916739703</v>
          </cell>
          <cell r="AB36">
            <v>1385.1397409679619</v>
          </cell>
          <cell r="AC36">
            <v>1385.1397409679619</v>
          </cell>
          <cell r="AD36">
            <v>1385.1397409679619</v>
          </cell>
          <cell r="AE36">
            <v>1385.1397409679619</v>
          </cell>
          <cell r="AF36">
            <v>1295.7444736585842</v>
          </cell>
          <cell r="AG36">
            <v>1295.77</v>
          </cell>
          <cell r="AH36">
            <v>1226.5283864056871</v>
          </cell>
          <cell r="AI36">
            <v>1157</v>
          </cell>
        </row>
        <row r="37">
          <cell r="A37">
            <v>34</v>
          </cell>
          <cell r="B37" t="str">
            <v>Interdepartmental/Special Contracts</v>
          </cell>
          <cell r="C37"/>
          <cell r="D37">
            <v>2423530.0759567632</v>
          </cell>
          <cell r="E37">
            <v>199134.27987145778</v>
          </cell>
          <cell r="F37">
            <v>142253.12201772325</v>
          </cell>
          <cell r="G37">
            <v>205553.41318531503</v>
          </cell>
          <cell r="H37">
            <v>196381.5181614568</v>
          </cell>
          <cell r="I37">
            <v>204450.08472100497</v>
          </cell>
          <cell r="J37">
            <v>215999.92696465089</v>
          </cell>
          <cell r="K37">
            <v>187342.19106047327</v>
          </cell>
          <cell r="L37">
            <v>202232.24851494792</v>
          </cell>
          <cell r="M37">
            <v>180348.46138864543</v>
          </cell>
          <cell r="N37">
            <v>225798.32505599377</v>
          </cell>
          <cell r="O37">
            <v>224451.10624208782</v>
          </cell>
          <cell r="P37">
            <v>239585.39877300613</v>
          </cell>
          <cell r="T37">
            <v>34</v>
          </cell>
          <cell r="U37" t="str">
            <v>Interdepartmental/Special Contracts</v>
          </cell>
          <cell r="X37">
            <v>159342.1949556919</v>
          </cell>
          <cell r="Y37">
            <v>133477.4564222417</v>
          </cell>
          <cell r="Z37">
            <v>210268.38056285909</v>
          </cell>
          <cell r="AA37">
            <v>165391.85899308597</v>
          </cell>
          <cell r="AB37">
            <v>164903.69071964163</v>
          </cell>
          <cell r="AC37">
            <v>174935.7288927841</v>
          </cell>
          <cell r="AD37">
            <v>145961.2425747395</v>
          </cell>
          <cell r="AE37">
            <v>156281.13740383679</v>
          </cell>
          <cell r="AF37">
            <v>163115.00632973024</v>
          </cell>
          <cell r="AG37">
            <v>176991.65</v>
          </cell>
          <cell r="AH37">
            <v>203650.19183951701</v>
          </cell>
          <cell r="AI37">
            <v>210351</v>
          </cell>
        </row>
        <row r="38">
          <cell r="A38">
            <v>35</v>
          </cell>
          <cell r="B38" t="str">
            <v>Unbilled</v>
          </cell>
          <cell r="C38"/>
          <cell r="D38">
            <v>17088</v>
          </cell>
          <cell r="E38">
            <v>20636</v>
          </cell>
          <cell r="F38">
            <v>-41604</v>
          </cell>
          <cell r="G38">
            <v>14168</v>
          </cell>
          <cell r="H38">
            <v>0</v>
          </cell>
          <cell r="I38">
            <v>-14099</v>
          </cell>
          <cell r="J38">
            <v>-50223</v>
          </cell>
          <cell r="K38">
            <v>4327</v>
          </cell>
          <cell r="L38">
            <v>-8267</v>
          </cell>
          <cell r="M38">
            <v>1447</v>
          </cell>
          <cell r="N38">
            <v>24763</v>
          </cell>
          <cell r="O38">
            <v>22114</v>
          </cell>
          <cell r="P38">
            <v>43826</v>
          </cell>
          <cell r="T38">
            <v>35</v>
          </cell>
          <cell r="U38" t="str">
            <v>Unbilled</v>
          </cell>
          <cell r="X38">
            <v>35169</v>
          </cell>
          <cell r="Y38">
            <v>-32050</v>
          </cell>
          <cell r="Z38">
            <v>0</v>
          </cell>
          <cell r="AA38">
            <v>0</v>
          </cell>
          <cell r="AB38">
            <v>0</v>
          </cell>
          <cell r="AC38">
            <v>-53888</v>
          </cell>
          <cell r="AD38">
            <v>-17611</v>
          </cell>
          <cell r="AE38">
            <v>-2096</v>
          </cell>
          <cell r="AF38">
            <v>-22630</v>
          </cell>
          <cell r="AG38">
            <v>35595</v>
          </cell>
          <cell r="AH38">
            <v>0</v>
          </cell>
          <cell r="AI38">
            <v>267888</v>
          </cell>
        </row>
        <row r="39">
          <cell r="A39">
            <v>36</v>
          </cell>
          <cell r="B39" t="str">
            <v>Commercial Small Transp</v>
          </cell>
          <cell r="C39"/>
          <cell r="D39">
            <v>652333.14052001154</v>
          </cell>
          <cell r="E39">
            <v>64449.438114714154</v>
          </cell>
          <cell r="F39">
            <v>61400.33206738728</v>
          </cell>
          <cell r="G39">
            <v>56384.012075177663</v>
          </cell>
          <cell r="H39">
            <v>56488.458467231503</v>
          </cell>
          <cell r="I39">
            <v>52938.840198656144</v>
          </cell>
          <cell r="J39">
            <v>49945.818482812356</v>
          </cell>
          <cell r="K39">
            <v>45686.188528581137</v>
          </cell>
          <cell r="L39">
            <v>48930.69821793749</v>
          </cell>
          <cell r="M39">
            <v>48079.925990846255</v>
          </cell>
          <cell r="N39">
            <v>49234.010127568334</v>
          </cell>
          <cell r="O39">
            <v>55495.332554289591</v>
          </cell>
          <cell r="P39">
            <v>63300.085694809619</v>
          </cell>
          <cell r="T39">
            <v>36</v>
          </cell>
          <cell r="U39" t="str">
            <v>Commercial Small Transp</v>
          </cell>
          <cell r="X39">
            <v>59402.083941961238</v>
          </cell>
          <cell r="Y39">
            <v>54789.755575031646</v>
          </cell>
          <cell r="Z39">
            <v>51459.927938455548</v>
          </cell>
          <cell r="AA39">
            <v>53379.881195832117</v>
          </cell>
          <cell r="AB39">
            <v>47579.316389132342</v>
          </cell>
          <cell r="AC39">
            <v>49190.184049079755</v>
          </cell>
          <cell r="AD39">
            <v>43807.381439283279</v>
          </cell>
          <cell r="AE39">
            <v>44689.745836985101</v>
          </cell>
          <cell r="AF39">
            <v>46887.330801441232</v>
          </cell>
          <cell r="AG39">
            <v>43946.76</v>
          </cell>
          <cell r="AH39">
            <v>53538.011490894933</v>
          </cell>
          <cell r="AI39">
            <v>59582</v>
          </cell>
        </row>
        <row r="40">
          <cell r="A40">
            <v>37</v>
          </cell>
          <cell r="B40" t="str">
            <v>Commercial Large Transp</v>
          </cell>
          <cell r="C40"/>
          <cell r="D40">
            <v>3213306.7056188518</v>
          </cell>
          <cell r="E40">
            <v>319974.42302074179</v>
          </cell>
          <cell r="F40">
            <v>284087.08442886354</v>
          </cell>
          <cell r="G40">
            <v>277631.1909630929</v>
          </cell>
          <cell r="H40">
            <v>275090.10614470718</v>
          </cell>
          <cell r="I40">
            <v>270742.28162430576</v>
          </cell>
          <cell r="J40">
            <v>247118.60161651555</v>
          </cell>
          <cell r="K40">
            <v>232546.74262342966</v>
          </cell>
          <cell r="L40">
            <v>243790.7157464214</v>
          </cell>
          <cell r="M40">
            <v>233420.90076930568</v>
          </cell>
          <cell r="N40">
            <v>248336.80105170925</v>
          </cell>
          <cell r="O40">
            <v>277656.70756646217</v>
          </cell>
          <cell r="P40">
            <v>302911.1500632969</v>
          </cell>
          <cell r="T40">
            <v>37</v>
          </cell>
          <cell r="U40" t="str">
            <v>Commercial Large Transp</v>
          </cell>
          <cell r="X40">
            <v>299415.81458759372</v>
          </cell>
          <cell r="Y40">
            <v>276740.87058136135</v>
          </cell>
          <cell r="Z40">
            <v>272869.51017625863</v>
          </cell>
          <cell r="AA40">
            <v>277765.11831726553</v>
          </cell>
          <cell r="AB40">
            <v>257994.25455253676</v>
          </cell>
          <cell r="AC40">
            <v>253157.17207128249</v>
          </cell>
          <cell r="AD40">
            <v>237891.42078099132</v>
          </cell>
          <cell r="AE40">
            <v>242211.89989288148</v>
          </cell>
          <cell r="AF40">
            <v>238763.46284935242</v>
          </cell>
          <cell r="AG40">
            <v>235723.01</v>
          </cell>
          <cell r="AH40">
            <v>261890.24832018701</v>
          </cell>
          <cell r="AI40">
            <v>285781</v>
          </cell>
        </row>
        <row r="41">
          <cell r="A41">
            <v>38</v>
          </cell>
          <cell r="B41" t="str">
            <v>Interruptible Transp</v>
          </cell>
          <cell r="C41"/>
          <cell r="D41">
            <v>972947.98032914591</v>
          </cell>
          <cell r="E41">
            <v>88365.894439575437</v>
          </cell>
          <cell r="F41">
            <v>78187.942350764424</v>
          </cell>
          <cell r="G41">
            <v>81465.792190086664</v>
          </cell>
          <cell r="H41">
            <v>83619.346577076649</v>
          </cell>
          <cell r="I41">
            <v>78306.41542506573</v>
          </cell>
          <cell r="J41">
            <v>80387.971564904074</v>
          </cell>
          <cell r="K41">
            <v>81067.504138669785</v>
          </cell>
          <cell r="L41">
            <v>76147.49537442789</v>
          </cell>
          <cell r="M41">
            <v>75497.784594410361</v>
          </cell>
          <cell r="N41">
            <v>84999.129418638608</v>
          </cell>
          <cell r="O41">
            <v>80875.121238679523</v>
          </cell>
          <cell r="P41">
            <v>84027.583016846824</v>
          </cell>
          <cell r="T41">
            <v>38</v>
          </cell>
          <cell r="U41" t="str">
            <v>Interruptible Transp</v>
          </cell>
          <cell r="X41">
            <v>89552.049858798331</v>
          </cell>
          <cell r="Y41">
            <v>77045.574057844002</v>
          </cell>
          <cell r="Z41">
            <v>89081.604830071083</v>
          </cell>
          <cell r="AA41">
            <v>81035.933391761617</v>
          </cell>
          <cell r="AB41">
            <v>83842.925309182974</v>
          </cell>
          <cell r="AC41">
            <v>89453.890349595866</v>
          </cell>
          <cell r="AD41">
            <v>85471.808355243935</v>
          </cell>
          <cell r="AE41">
            <v>81501.801538611355</v>
          </cell>
          <cell r="AF41">
            <v>79464.602200798516</v>
          </cell>
          <cell r="AG41">
            <v>86792.63</v>
          </cell>
          <cell r="AH41">
            <v>82474.379199532559</v>
          </cell>
          <cell r="AI41">
            <v>78527</v>
          </cell>
        </row>
        <row r="42">
          <cell r="A42">
            <v>39</v>
          </cell>
          <cell r="D42">
            <v>10268052.733664459</v>
          </cell>
          <cell r="E42">
            <v>1059287.3272957474</v>
          </cell>
          <cell r="F42">
            <v>855202.85753237933</v>
          </cell>
          <cell r="G42">
            <v>911229.36624793208</v>
          </cell>
          <cell r="H42">
            <v>887749.1761612643</v>
          </cell>
          <cell r="I42">
            <v>825462.32437433465</v>
          </cell>
          <cell r="J42">
            <v>750550.53880611854</v>
          </cell>
          <cell r="K42">
            <v>721173.31220177421</v>
          </cell>
          <cell r="L42">
            <v>747088.49225825502</v>
          </cell>
          <cell r="M42">
            <v>720996.20245399058</v>
          </cell>
          <cell r="N42">
            <v>826041.48281235085</v>
          </cell>
          <cell r="O42">
            <v>902139.04430811515</v>
          </cell>
          <cell r="P42">
            <v>1061132.6092121955</v>
          </cell>
          <cell r="T42">
            <v>39</v>
          </cell>
          <cell r="U42"/>
          <cell r="V42"/>
          <cell r="W42"/>
          <cell r="X42">
            <v>1046769.8374720032</v>
          </cell>
          <cell r="Y42">
            <v>833559.11481156875</v>
          </cell>
          <cell r="Z42">
            <v>917553.41318531509</v>
          </cell>
          <cell r="AA42">
            <v>868352.03038270515</v>
          </cell>
          <cell r="AB42">
            <v>784894.34219495568</v>
          </cell>
          <cell r="AC42">
            <v>725504.05375401699</v>
          </cell>
          <cell r="AD42">
            <v>671133.47365858406</v>
          </cell>
          <cell r="AE42">
            <v>696652.3688772032</v>
          </cell>
          <cell r="AF42">
            <v>686614.32758788578</v>
          </cell>
          <cell r="AG42">
            <v>746924.94000000006</v>
          </cell>
          <cell r="AH42">
            <v>836195.70552147448</v>
          </cell>
          <cell r="AI42">
            <v>1217008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669</v>
          </cell>
          <cell r="F45">
            <v>667</v>
          </cell>
          <cell r="G45">
            <v>670</v>
          </cell>
          <cell r="H45">
            <v>670</v>
          </cell>
          <cell r="I45">
            <v>669</v>
          </cell>
          <cell r="J45">
            <v>671</v>
          </cell>
          <cell r="K45">
            <v>669</v>
          </cell>
          <cell r="L45">
            <v>669</v>
          </cell>
          <cell r="M45">
            <v>667</v>
          </cell>
          <cell r="N45">
            <v>674</v>
          </cell>
          <cell r="O45">
            <v>671</v>
          </cell>
          <cell r="P45">
            <v>666</v>
          </cell>
          <cell r="T45">
            <v>42</v>
          </cell>
          <cell r="U45" t="str">
            <v>TS1 - RS</v>
          </cell>
          <cell r="X45">
            <v>671</v>
          </cell>
          <cell r="Y45">
            <v>671</v>
          </cell>
          <cell r="Z45">
            <v>673</v>
          </cell>
          <cell r="AA45">
            <v>670</v>
          </cell>
          <cell r="AB45">
            <v>671</v>
          </cell>
          <cell r="AC45">
            <v>667</v>
          </cell>
          <cell r="AD45">
            <v>669</v>
          </cell>
          <cell r="AE45">
            <v>673</v>
          </cell>
          <cell r="AF45">
            <v>671</v>
          </cell>
          <cell r="AG45">
            <v>668</v>
          </cell>
          <cell r="AH45">
            <v>672</v>
          </cell>
          <cell r="AI45">
            <v>668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23</v>
          </cell>
          <cell r="F47">
            <v>23</v>
          </cell>
          <cell r="G47">
            <v>23</v>
          </cell>
          <cell r="H47">
            <v>23</v>
          </cell>
          <cell r="I47">
            <v>23</v>
          </cell>
          <cell r="J47">
            <v>23</v>
          </cell>
          <cell r="K47">
            <v>23</v>
          </cell>
          <cell r="L47">
            <v>23</v>
          </cell>
          <cell r="M47">
            <v>22</v>
          </cell>
          <cell r="N47">
            <v>22</v>
          </cell>
          <cell r="O47">
            <v>22</v>
          </cell>
          <cell r="P47">
            <v>22</v>
          </cell>
          <cell r="T47">
            <v>44</v>
          </cell>
          <cell r="U47" t="str">
            <v>TS2</v>
          </cell>
          <cell r="X47">
            <v>23</v>
          </cell>
          <cell r="Y47">
            <v>23</v>
          </cell>
          <cell r="Z47">
            <v>23</v>
          </cell>
          <cell r="AA47">
            <v>24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695</v>
          </cell>
          <cell r="F50">
            <v>693</v>
          </cell>
          <cell r="G50">
            <v>696</v>
          </cell>
          <cell r="H50">
            <v>696</v>
          </cell>
          <cell r="I50">
            <v>695</v>
          </cell>
          <cell r="J50">
            <v>697</v>
          </cell>
          <cell r="K50">
            <v>695</v>
          </cell>
          <cell r="L50">
            <v>695</v>
          </cell>
          <cell r="M50">
            <v>692</v>
          </cell>
          <cell r="N50">
            <v>699</v>
          </cell>
          <cell r="O50">
            <v>696</v>
          </cell>
          <cell r="P50">
            <v>691</v>
          </cell>
          <cell r="T50">
            <v>47</v>
          </cell>
          <cell r="U50"/>
          <cell r="V50"/>
          <cell r="W50"/>
          <cell r="X50">
            <v>697</v>
          </cell>
          <cell r="Y50">
            <v>697</v>
          </cell>
          <cell r="Z50">
            <v>699</v>
          </cell>
          <cell r="AA50">
            <v>697</v>
          </cell>
          <cell r="AB50">
            <v>697</v>
          </cell>
          <cell r="AC50">
            <v>693</v>
          </cell>
          <cell r="AD50">
            <v>695</v>
          </cell>
          <cell r="AE50">
            <v>699</v>
          </cell>
          <cell r="AF50">
            <v>697</v>
          </cell>
          <cell r="AG50">
            <v>694</v>
          </cell>
          <cell r="AH50">
            <v>698</v>
          </cell>
          <cell r="AI50">
            <v>694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11164.059012562082</v>
          </cell>
          <cell r="E53">
            <v>1086.1846333625508</v>
          </cell>
          <cell r="F53">
            <v>974.87486610186045</v>
          </cell>
          <cell r="G53">
            <v>984.44541824910016</v>
          </cell>
          <cell r="H53">
            <v>948</v>
          </cell>
          <cell r="I53">
            <v>979.419612425747</v>
          </cell>
          <cell r="J53">
            <v>820.79559840295826</v>
          </cell>
          <cell r="K53">
            <v>853.18239361184055</v>
          </cell>
          <cell r="L53">
            <v>829.05346187554835</v>
          </cell>
          <cell r="M53">
            <v>834.62167689161549</v>
          </cell>
          <cell r="N53">
            <v>916.80007790437276</v>
          </cell>
          <cell r="O53">
            <v>898.68341610672894</v>
          </cell>
          <cell r="P53">
            <v>1037.9978576297599</v>
          </cell>
          <cell r="T53">
            <v>50</v>
          </cell>
          <cell r="U53" t="str">
            <v>TS1 - RS</v>
          </cell>
          <cell r="V53"/>
          <cell r="W53"/>
          <cell r="X53">
            <v>1222.3196026877008</v>
          </cell>
          <cell r="Y53">
            <v>957.24997565488366</v>
          </cell>
          <cell r="Z53">
            <v>982.76365761028342</v>
          </cell>
          <cell r="AA53">
            <v>944.20099328074787</v>
          </cell>
          <cell r="AB53">
            <v>979.55010224948876</v>
          </cell>
          <cell r="AC53">
            <v>868.34161067289904</v>
          </cell>
          <cell r="AD53">
            <v>851.59217061057552</v>
          </cell>
          <cell r="AE53">
            <v>816.53520303827054</v>
          </cell>
          <cell r="AF53">
            <v>817.02210536566361</v>
          </cell>
          <cell r="AG53">
            <v>843.02268964845655</v>
          </cell>
          <cell r="AH53">
            <v>935.04722952575707</v>
          </cell>
          <cell r="AI53">
            <v>1101.9573473561204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/>
          <cell r="J54"/>
          <cell r="K54"/>
          <cell r="L54"/>
          <cell r="M54"/>
          <cell r="N54"/>
          <cell r="O54"/>
          <cell r="P54"/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8134.6648164378221</v>
          </cell>
          <cell r="E55">
            <v>689.3533937092219</v>
          </cell>
          <cell r="F55">
            <v>668.49839322231958</v>
          </cell>
          <cell r="G55">
            <v>690.55117343460904</v>
          </cell>
          <cell r="H55">
            <v>677</v>
          </cell>
          <cell r="I55">
            <v>715.54873892297212</v>
          </cell>
          <cell r="J55">
            <v>634.22046937384368</v>
          </cell>
          <cell r="K55">
            <v>682.58837277242196</v>
          </cell>
          <cell r="L55">
            <v>600.31843412211492</v>
          </cell>
          <cell r="M55">
            <v>636.26740675820429</v>
          </cell>
          <cell r="N55">
            <v>710.50345700652463</v>
          </cell>
          <cell r="O55">
            <v>650.69237510955293</v>
          </cell>
          <cell r="P55">
            <v>779.1226020060376</v>
          </cell>
          <cell r="T55">
            <v>52</v>
          </cell>
          <cell r="U55" t="str">
            <v>TS2</v>
          </cell>
          <cell r="X55">
            <v>781.86775732787999</v>
          </cell>
          <cell r="Y55">
            <v>670.65926575129026</v>
          </cell>
          <cell r="Z55">
            <v>693.44629467328855</v>
          </cell>
          <cell r="AA55">
            <v>677.08637647287958</v>
          </cell>
          <cell r="AB55">
            <v>734.15132924335376</v>
          </cell>
          <cell r="AC55">
            <v>651.96221637939425</v>
          </cell>
          <cell r="AD55">
            <v>687.99298860648548</v>
          </cell>
          <cell r="AE55">
            <v>642.71107215892494</v>
          </cell>
          <cell r="AF55">
            <v>638.62109260882266</v>
          </cell>
          <cell r="AG55">
            <v>695.19914305190377</v>
          </cell>
          <cell r="AH55">
            <v>699.09436167104877</v>
          </cell>
          <cell r="AI55">
            <v>744.96056091148114</v>
          </cell>
        </row>
        <row r="56">
          <cell r="A56">
            <v>53</v>
          </cell>
          <cell r="B56" t="str">
            <v>TS3</v>
          </cell>
          <cell r="D56">
            <v>376.9857824520401</v>
          </cell>
          <cell r="E56">
            <v>43.34501898919077</v>
          </cell>
          <cell r="F56">
            <v>33.213555360794622</v>
          </cell>
          <cell r="G56">
            <v>21.668127373648844</v>
          </cell>
          <cell r="H56">
            <v>23</v>
          </cell>
          <cell r="I56">
            <v>37.204206836108675</v>
          </cell>
          <cell r="J56">
            <v>39.536468984321743</v>
          </cell>
          <cell r="K56">
            <v>41.918395169928907</v>
          </cell>
          <cell r="L56">
            <v>25.928522738338689</v>
          </cell>
          <cell r="M56">
            <v>40.100301879442988</v>
          </cell>
          <cell r="N56">
            <v>19.141104294478527</v>
          </cell>
          <cell r="O56">
            <v>23.751095530236636</v>
          </cell>
          <cell r="P56">
            <v>28.178985295549712</v>
          </cell>
          <cell r="T56">
            <v>53</v>
          </cell>
          <cell r="U56" t="str">
            <v>TS3</v>
          </cell>
          <cell r="X56">
            <v>33.304119193689743</v>
          </cell>
          <cell r="Y56">
            <v>26.682247541143248</v>
          </cell>
          <cell r="Z56">
            <v>28.727237316194373</v>
          </cell>
          <cell r="AA56">
            <v>34.277923848475993</v>
          </cell>
          <cell r="AB56">
            <v>28.727237316194373</v>
          </cell>
          <cell r="AC56">
            <v>36.907196416398868</v>
          </cell>
          <cell r="AD56">
            <v>25.80582335183562</v>
          </cell>
          <cell r="AE56">
            <v>38.854805725971367</v>
          </cell>
          <cell r="AF56">
            <v>31.356509884117244</v>
          </cell>
          <cell r="AG56">
            <v>28.92199824715162</v>
          </cell>
          <cell r="AH56">
            <v>18.502288440938749</v>
          </cell>
          <cell r="AI56">
            <v>41.191936897458369</v>
          </cell>
        </row>
        <row r="57">
          <cell r="A57">
            <v>54</v>
          </cell>
          <cell r="B57" t="str">
            <v>TS4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/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9165.1572694517472</v>
          </cell>
          <cell r="AB57">
            <v>10747.979355341318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A58">
            <v>55</v>
          </cell>
          <cell r="D58">
            <v>19675.709611451945</v>
          </cell>
          <cell r="E58">
            <v>1818.8830460609636</v>
          </cell>
          <cell r="F58">
            <v>1676.5868146849746</v>
          </cell>
          <cell r="G58">
            <v>1696.6647190573578</v>
          </cell>
          <cell r="H58">
            <v>1648</v>
          </cell>
          <cell r="I58">
            <v>1732.1725581848277</v>
          </cell>
          <cell r="J58">
            <v>1494.5525367611237</v>
          </cell>
          <cell r="K58">
            <v>1577.6891615541915</v>
          </cell>
          <cell r="L58">
            <v>1455.3004187360018</v>
          </cell>
          <cell r="M58">
            <v>1510.9893855292628</v>
          </cell>
          <cell r="N58">
            <v>1646.4446392053758</v>
          </cell>
          <cell r="O58">
            <v>1573.1268867465185</v>
          </cell>
          <cell r="P58">
            <v>1845.2994449313471</v>
          </cell>
          <cell r="T58">
            <v>55</v>
          </cell>
          <cell r="U58"/>
          <cell r="V58"/>
          <cell r="W58"/>
          <cell r="X58">
            <v>2037.4914792092707</v>
          </cell>
          <cell r="Y58">
            <v>1654.591488947317</v>
          </cell>
          <cell r="Z58">
            <v>1704.9371895997663</v>
          </cell>
          <cell r="AA58">
            <v>10820.722563053851</v>
          </cell>
          <cell r="AB58">
            <v>12490.408024150354</v>
          </cell>
          <cell r="AC58">
            <v>1557.2110234686922</v>
          </cell>
          <cell r="AD58">
            <v>1565.3909825688968</v>
          </cell>
          <cell r="AE58">
            <v>1498.1010809231668</v>
          </cell>
          <cell r="AF58">
            <v>1486.9997078586034</v>
          </cell>
          <cell r="AG58">
            <v>1567.1438309475118</v>
          </cell>
          <cell r="AH58">
            <v>1652.6438796377447</v>
          </cell>
          <cell r="AI58">
            <v>1888.1098451650598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  <cell r="AA59"/>
          <cell r="AB59"/>
          <cell r="AC59"/>
          <cell r="AD59"/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564</v>
          </cell>
          <cell r="F62">
            <v>568</v>
          </cell>
          <cell r="G62">
            <v>567</v>
          </cell>
          <cell r="H62">
            <v>570</v>
          </cell>
          <cell r="I62">
            <v>561</v>
          </cell>
          <cell r="J62">
            <v>558</v>
          </cell>
          <cell r="K62">
            <v>554</v>
          </cell>
          <cell r="L62">
            <v>554</v>
          </cell>
          <cell r="M62">
            <v>553</v>
          </cell>
          <cell r="N62">
            <v>556</v>
          </cell>
          <cell r="O62">
            <v>554</v>
          </cell>
          <cell r="P62">
            <v>561</v>
          </cell>
          <cell r="T62">
            <v>59</v>
          </cell>
          <cell r="U62" t="str">
            <v>Residential</v>
          </cell>
          <cell r="V62"/>
          <cell r="W62"/>
          <cell r="X62">
            <v>582</v>
          </cell>
          <cell r="Y62">
            <v>581</v>
          </cell>
          <cell r="Z62">
            <v>584</v>
          </cell>
          <cell r="AA62">
            <v>577</v>
          </cell>
          <cell r="AB62">
            <v>565</v>
          </cell>
          <cell r="AC62">
            <v>561</v>
          </cell>
          <cell r="AD62">
            <v>561</v>
          </cell>
          <cell r="AE62">
            <v>557</v>
          </cell>
          <cell r="AF62">
            <v>560</v>
          </cell>
          <cell r="AG62">
            <v>558</v>
          </cell>
          <cell r="AH62">
            <v>560</v>
          </cell>
          <cell r="AI62">
            <v>560</v>
          </cell>
        </row>
        <row r="63">
          <cell r="A63">
            <v>60</v>
          </cell>
          <cell r="B63" t="str">
            <v>Commercial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60</v>
          </cell>
          <cell r="U63" t="str">
            <v>Commercial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A64">
            <v>61</v>
          </cell>
          <cell r="B64" t="str">
            <v>Commercial Small Transp</v>
          </cell>
          <cell r="E64">
            <v>20</v>
          </cell>
          <cell r="F64">
            <v>19</v>
          </cell>
          <cell r="G64">
            <v>19</v>
          </cell>
          <cell r="H64">
            <v>19</v>
          </cell>
          <cell r="I64">
            <v>20</v>
          </cell>
          <cell r="J64">
            <v>21</v>
          </cell>
          <cell r="K64">
            <v>21</v>
          </cell>
          <cell r="L64">
            <v>21</v>
          </cell>
          <cell r="M64">
            <v>21</v>
          </cell>
          <cell r="N64">
            <v>21</v>
          </cell>
          <cell r="O64">
            <v>22</v>
          </cell>
          <cell r="P64">
            <v>22</v>
          </cell>
          <cell r="T64">
            <v>61</v>
          </cell>
          <cell r="U64" t="str">
            <v>Special Contract</v>
          </cell>
          <cell r="X64">
            <v>19</v>
          </cell>
          <cell r="Y64">
            <v>18</v>
          </cell>
          <cell r="Z64">
            <v>21</v>
          </cell>
          <cell r="AA64">
            <v>21</v>
          </cell>
          <cell r="AB64">
            <v>21</v>
          </cell>
          <cell r="AC64">
            <v>20</v>
          </cell>
          <cell r="AD64">
            <v>20</v>
          </cell>
          <cell r="AE64">
            <v>20</v>
          </cell>
          <cell r="AF64">
            <v>20</v>
          </cell>
          <cell r="AG64">
            <v>20</v>
          </cell>
          <cell r="AH64">
            <v>20</v>
          </cell>
          <cell r="AI64">
            <v>20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7</v>
          </cell>
          <cell r="Y65">
            <v>7</v>
          </cell>
          <cell r="Z65">
            <v>7</v>
          </cell>
          <cell r="AA65">
            <v>7</v>
          </cell>
          <cell r="AB65">
            <v>7</v>
          </cell>
          <cell r="AC65">
            <v>7</v>
          </cell>
          <cell r="AD65">
            <v>7</v>
          </cell>
          <cell r="AE65">
            <v>7</v>
          </cell>
          <cell r="AF65">
            <v>7</v>
          </cell>
          <cell r="AG65">
            <v>7</v>
          </cell>
          <cell r="AH65">
            <v>7</v>
          </cell>
          <cell r="AI65">
            <v>7</v>
          </cell>
        </row>
        <row r="66">
          <cell r="A66">
            <v>63</v>
          </cell>
          <cell r="D66"/>
          <cell r="E66">
            <v>591</v>
          </cell>
          <cell r="F66">
            <v>594</v>
          </cell>
          <cell r="G66">
            <v>593</v>
          </cell>
          <cell r="H66">
            <v>596</v>
          </cell>
          <cell r="I66">
            <v>588</v>
          </cell>
          <cell r="J66">
            <v>586</v>
          </cell>
          <cell r="K66">
            <v>582</v>
          </cell>
          <cell r="L66">
            <v>582</v>
          </cell>
          <cell r="M66">
            <v>581</v>
          </cell>
          <cell r="N66">
            <v>584</v>
          </cell>
          <cell r="O66">
            <v>583</v>
          </cell>
          <cell r="P66">
            <v>590</v>
          </cell>
          <cell r="T66">
            <v>63</v>
          </cell>
          <cell r="W66"/>
          <cell r="X66">
            <v>608</v>
          </cell>
          <cell r="Y66">
            <v>606</v>
          </cell>
          <cell r="Z66">
            <v>612</v>
          </cell>
          <cell r="AA66">
            <v>605</v>
          </cell>
          <cell r="AB66">
            <v>593</v>
          </cell>
          <cell r="AC66">
            <v>588</v>
          </cell>
          <cell r="AD66">
            <v>588</v>
          </cell>
          <cell r="AE66">
            <v>584</v>
          </cell>
          <cell r="AF66">
            <v>587</v>
          </cell>
          <cell r="AG66">
            <v>585</v>
          </cell>
          <cell r="AH66">
            <v>587</v>
          </cell>
          <cell r="AI66">
            <v>587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6768.6464115298431</v>
          </cell>
          <cell r="E69">
            <v>931.67591781088936</v>
          </cell>
          <cell r="F69">
            <v>882.66043431687717</v>
          </cell>
          <cell r="G69">
            <v>572.85422144317522</v>
          </cell>
          <cell r="H69">
            <v>565.46791313662163</v>
          </cell>
          <cell r="I69">
            <v>506.28590904664367</v>
          </cell>
          <cell r="J69">
            <v>449.19661115980125</v>
          </cell>
          <cell r="K69">
            <v>384.73269062226183</v>
          </cell>
          <cell r="L69">
            <v>417.63073327490537</v>
          </cell>
          <cell r="M69">
            <v>407.99493621579506</v>
          </cell>
          <cell r="N69">
            <v>425.84477553802708</v>
          </cell>
          <cell r="O69">
            <v>471.63988703865886</v>
          </cell>
          <cell r="P69">
            <v>752.66238192618562</v>
          </cell>
          <cell r="T69">
            <v>66</v>
          </cell>
          <cell r="U69" t="str">
            <v>Residential</v>
          </cell>
          <cell r="V69"/>
          <cell r="W69"/>
          <cell r="X69">
            <v>1224.5593533937092</v>
          </cell>
          <cell r="Y69">
            <v>812.93212581556134</v>
          </cell>
          <cell r="Z69">
            <v>570.55214723926383</v>
          </cell>
          <cell r="AA69">
            <v>624.40354464894347</v>
          </cell>
          <cell r="AB69">
            <v>462.07030869607559</v>
          </cell>
          <cell r="AC69">
            <v>519.13526146654976</v>
          </cell>
          <cell r="AD69">
            <v>404.6158340636868</v>
          </cell>
          <cell r="AE69">
            <v>432.27188625961634</v>
          </cell>
          <cell r="AF69">
            <v>437.91995325737656</v>
          </cell>
          <cell r="AG69">
            <v>382.60784886551755</v>
          </cell>
          <cell r="AH69">
            <v>473.46382315707467</v>
          </cell>
          <cell r="AI69">
            <v>711.65644171779138</v>
          </cell>
        </row>
        <row r="70">
          <cell r="A70">
            <v>67</v>
          </cell>
          <cell r="B70" t="str">
            <v>Commercial</v>
          </cell>
          <cell r="D70">
            <v>10279.779538416595</v>
          </cell>
          <cell r="E70">
            <v>733</v>
          </cell>
          <cell r="F70">
            <v>593</v>
          </cell>
          <cell r="G70">
            <v>393</v>
          </cell>
          <cell r="H70">
            <v>411.32</v>
          </cell>
          <cell r="I70">
            <v>345.02580582335185</v>
          </cell>
          <cell r="J70">
            <v>336.17781672996398</v>
          </cell>
          <cell r="K70">
            <v>200.73035349108972</v>
          </cell>
          <cell r="L70">
            <v>1029.6679326127178</v>
          </cell>
          <cell r="M70">
            <v>954.28376667640464</v>
          </cell>
          <cell r="N70">
            <v>1257.0347648261761</v>
          </cell>
          <cell r="O70">
            <v>1596.2781186094069</v>
          </cell>
          <cell r="P70">
            <v>2430.2609796474826</v>
          </cell>
          <cell r="T70">
            <v>67</v>
          </cell>
          <cell r="U70" t="str">
            <v>Commercial</v>
          </cell>
          <cell r="X70">
            <v>603.95364689843211</v>
          </cell>
          <cell r="Y70">
            <v>543.86989969812055</v>
          </cell>
          <cell r="Z70">
            <v>402.86298568507158</v>
          </cell>
          <cell r="AA70">
            <v>443.95754211705133</v>
          </cell>
          <cell r="AB70">
            <v>294.67328853831918</v>
          </cell>
          <cell r="AC70">
            <v>220.76151524004285</v>
          </cell>
          <cell r="AD70">
            <v>105.36566364787224</v>
          </cell>
          <cell r="AE70">
            <v>109.26088226701724</v>
          </cell>
          <cell r="AF70">
            <v>130.87934560327199</v>
          </cell>
          <cell r="AG70">
            <v>156.87992988606484</v>
          </cell>
          <cell r="AH70">
            <v>172.94770669003799</v>
          </cell>
          <cell r="AI70">
            <v>574.54474632388747</v>
          </cell>
        </row>
        <row r="71">
          <cell r="A71">
            <v>68</v>
          </cell>
          <cell r="B71" t="str">
            <v>Commercial Small Transp</v>
          </cell>
          <cell r="D71">
            <v>2533.6663745252704</v>
          </cell>
          <cell r="E71">
            <v>245.69091440257085</v>
          </cell>
          <cell r="F71">
            <v>217.35319894829098</v>
          </cell>
          <cell r="G71">
            <v>238.58214042263123</v>
          </cell>
          <cell r="H71">
            <v>212.97107800175286</v>
          </cell>
          <cell r="I71">
            <v>224.82617586912062</v>
          </cell>
          <cell r="J71">
            <v>191.98169247249001</v>
          </cell>
          <cell r="K71">
            <v>157.91021521082871</v>
          </cell>
          <cell r="L71">
            <v>189.54815464017918</v>
          </cell>
          <cell r="M71">
            <v>210.61641834647972</v>
          </cell>
          <cell r="N71">
            <v>214.97906319992208</v>
          </cell>
          <cell r="O71">
            <v>213.46966598500339</v>
          </cell>
          <cell r="P71">
            <v>215.73765702600056</v>
          </cell>
          <cell r="T71">
            <v>68</v>
          </cell>
          <cell r="U71" t="str">
            <v>Special Contract</v>
          </cell>
          <cell r="X71">
            <v>224.94887525562373</v>
          </cell>
          <cell r="Y71">
            <v>227.87028921998248</v>
          </cell>
          <cell r="Z71">
            <v>211.51037101957348</v>
          </cell>
          <cell r="AA71">
            <v>217.15843801733371</v>
          </cell>
          <cell r="AB71">
            <v>217.45057941376959</v>
          </cell>
          <cell r="AC71">
            <v>203.71993378128346</v>
          </cell>
          <cell r="AD71">
            <v>158.53539779920149</v>
          </cell>
          <cell r="AE71">
            <v>188.04167883922486</v>
          </cell>
          <cell r="AF71">
            <v>213.94488265653911</v>
          </cell>
          <cell r="AG71">
            <v>185.60716720225923</v>
          </cell>
          <cell r="AH71">
            <v>228.84409387476873</v>
          </cell>
          <cell r="AI71">
            <v>223.78030966988021</v>
          </cell>
        </row>
        <row r="72">
          <cell r="A72">
            <v>69</v>
          </cell>
          <cell r="D72">
            <v>19582.092324471709</v>
          </cell>
          <cell r="E72">
            <v>1910.3668322134602</v>
          </cell>
          <cell r="F72">
            <v>1693.0136332651682</v>
          </cell>
          <cell r="G72">
            <v>1204.4363618658065</v>
          </cell>
          <cell r="H72">
            <v>1189.7589911383745</v>
          </cell>
          <cell r="I72">
            <v>1076.1378907391161</v>
          </cell>
          <cell r="J72">
            <v>977.3561203622553</v>
          </cell>
          <cell r="K72">
            <v>743.37325932418025</v>
          </cell>
          <cell r="L72">
            <v>1636.8468205278023</v>
          </cell>
          <cell r="M72">
            <v>1572.8951212386796</v>
          </cell>
          <cell r="N72">
            <v>1897.8586035641254</v>
          </cell>
          <cell r="O72">
            <v>2281.3876716330692</v>
          </cell>
          <cell r="P72">
            <v>3398.6610185996692</v>
          </cell>
          <cell r="T72">
            <v>69</v>
          </cell>
          <cell r="X72">
            <v>2053.461875547765</v>
          </cell>
          <cell r="Y72">
            <v>1584.6723147336643</v>
          </cell>
          <cell r="Z72">
            <v>1184.925503943909</v>
          </cell>
          <cell r="AA72">
            <v>1285.5195247833285</v>
          </cell>
          <cell r="AB72">
            <v>974.19417664816433</v>
          </cell>
          <cell r="AC72">
            <v>943.61671048787605</v>
          </cell>
          <cell r="AD72">
            <v>668.51689551076049</v>
          </cell>
          <cell r="AE72">
            <v>729.57444736585853</v>
          </cell>
          <cell r="AF72">
            <v>782.74418151718771</v>
          </cell>
          <cell r="AG72">
            <v>725.0949459538416</v>
          </cell>
          <cell r="AH72">
            <v>875.25562372188142</v>
          </cell>
          <cell r="AI72">
            <v>1509.9814977115591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V75"/>
          <cell r="W75"/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C76"/>
          <cell r="D76">
            <v>754134</v>
          </cell>
          <cell r="E76">
            <v>62363</v>
          </cell>
          <cell r="F76">
            <v>62468</v>
          </cell>
          <cell r="G76">
            <v>62701</v>
          </cell>
          <cell r="H76">
            <v>62839</v>
          </cell>
          <cell r="I76">
            <v>62785</v>
          </cell>
          <cell r="J76">
            <v>62788</v>
          </cell>
          <cell r="K76">
            <v>62826</v>
          </cell>
          <cell r="L76">
            <v>62927</v>
          </cell>
          <cell r="M76">
            <v>62987</v>
          </cell>
          <cell r="N76">
            <v>62970</v>
          </cell>
          <cell r="O76">
            <v>63110</v>
          </cell>
          <cell r="P76">
            <v>63370</v>
          </cell>
          <cell r="T76">
            <v>73</v>
          </cell>
          <cell r="U76" t="str">
            <v xml:space="preserve">Customers </v>
          </cell>
          <cell r="V76"/>
          <cell r="W76"/>
          <cell r="X76">
            <v>61186</v>
          </cell>
          <cell r="Y76">
            <v>61313</v>
          </cell>
          <cell r="Z76">
            <v>61568</v>
          </cell>
          <cell r="AA76">
            <v>61728</v>
          </cell>
          <cell r="AB76">
            <v>61667</v>
          </cell>
          <cell r="AC76">
            <v>61704</v>
          </cell>
          <cell r="AD76">
            <v>61787</v>
          </cell>
          <cell r="AE76">
            <v>61858</v>
          </cell>
          <cell r="AF76">
            <v>61925</v>
          </cell>
          <cell r="AG76">
            <v>61986</v>
          </cell>
          <cell r="AH76">
            <v>62226</v>
          </cell>
          <cell r="AI76">
            <v>62394</v>
          </cell>
        </row>
        <row r="77">
          <cell r="A77">
            <v>74</v>
          </cell>
          <cell r="B77" t="str">
            <v>Volume (mcfs)</v>
          </cell>
          <cell r="C77"/>
          <cell r="D77">
            <v>10038411.335086182</v>
          </cell>
          <cell r="E77">
            <v>1003551.4655760054</v>
          </cell>
          <cell r="F77">
            <v>945246.27519719547</v>
          </cell>
          <cell r="G77">
            <v>935374.13574836892</v>
          </cell>
          <cell r="H77">
            <v>882517.47979355336</v>
          </cell>
          <cell r="I77">
            <v>803963.28756451455</v>
          </cell>
          <cell r="J77">
            <v>786452.33226214815</v>
          </cell>
          <cell r="K77">
            <v>743042.26312201773</v>
          </cell>
          <cell r="L77">
            <v>728293.40734248713</v>
          </cell>
          <cell r="M77">
            <v>718250.55993767653</v>
          </cell>
          <cell r="N77">
            <v>760065.73181419808</v>
          </cell>
          <cell r="O77">
            <v>818185.21764534037</v>
          </cell>
          <cell r="P77">
            <v>913469.17908267595</v>
          </cell>
          <cell r="T77">
            <v>74</v>
          </cell>
          <cell r="U77" t="str">
            <v>Volume (mcfs)</v>
          </cell>
          <cell r="V77"/>
          <cell r="W77"/>
          <cell r="X77">
            <v>938417.95964902686</v>
          </cell>
          <cell r="Y77">
            <v>905984.11598657409</v>
          </cell>
          <cell r="Z77">
            <v>896395.73913431587</v>
          </cell>
          <cell r="AA77">
            <v>816603.84522296581</v>
          </cell>
          <cell r="AB77">
            <v>1158603.3150259138</v>
          </cell>
          <cell r="AC77">
            <v>1135563.9932312428</v>
          </cell>
          <cell r="AD77">
            <v>1112956.7061684872</v>
          </cell>
          <cell r="AE77">
            <v>1095339.8787173056</v>
          </cell>
          <cell r="AF77">
            <v>1101781.2209003596</v>
          </cell>
          <cell r="AG77">
            <v>1133577.4743852043</v>
          </cell>
          <cell r="AH77">
            <v>1197550.0865273057</v>
          </cell>
          <cell r="AI77">
            <v>1282668.6194088443</v>
          </cell>
        </row>
        <row r="78">
          <cell r="A78">
            <v>75</v>
          </cell>
          <cell r="B78" t="str">
            <v>Volume (dts) (mcfs*1.0269)</v>
          </cell>
          <cell r="C78"/>
          <cell r="D78">
            <v>10308446</v>
          </cell>
          <cell r="E78">
            <v>1030547</v>
          </cell>
          <cell r="F78">
            <v>970673</v>
          </cell>
          <cell r="G78">
            <v>960536</v>
          </cell>
          <cell r="H78">
            <v>906257</v>
          </cell>
          <cell r="I78">
            <v>825590</v>
          </cell>
          <cell r="J78">
            <v>807608</v>
          </cell>
          <cell r="K78">
            <v>763030</v>
          </cell>
          <cell r="L78">
            <v>747885</v>
          </cell>
          <cell r="M78">
            <v>737572</v>
          </cell>
          <cell r="N78">
            <v>780512</v>
          </cell>
          <cell r="O78">
            <v>840194</v>
          </cell>
          <cell r="P78">
            <v>938042</v>
          </cell>
          <cell r="T78">
            <v>75</v>
          </cell>
          <cell r="U78" t="str">
            <v>Volume (dts) (mcfs*1.0269)</v>
          </cell>
          <cell r="V78"/>
          <cell r="W78"/>
          <cell r="X78">
            <v>963661</v>
          </cell>
          <cell r="Y78">
            <v>930355</v>
          </cell>
          <cell r="Z78">
            <v>920509</v>
          </cell>
          <cell r="AA78">
            <v>838570</v>
          </cell>
          <cell r="AB78">
            <v>1189770</v>
          </cell>
          <cell r="AC78">
            <v>1166111</v>
          </cell>
          <cell r="AD78">
            <v>1142895</v>
          </cell>
          <cell r="AE78">
            <v>1124805</v>
          </cell>
          <cell r="AF78">
            <v>1131419</v>
          </cell>
          <cell r="AG78">
            <v>1164071</v>
          </cell>
          <cell r="AH78">
            <v>1229764</v>
          </cell>
          <cell r="AI78">
            <v>1317172</v>
          </cell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A80">
            <v>77</v>
          </cell>
          <cell r="B80" t="str">
            <v>Volume - 2019 - actual in Dts (mcfs*1.0269)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- 2018 - actual in Dts (mcfs*1.0269)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1392382</v>
          </cell>
          <cell r="E81">
            <v>197238</v>
          </cell>
          <cell r="F81">
            <v>171051</v>
          </cell>
          <cell r="G81">
            <v>137037</v>
          </cell>
          <cell r="H81">
            <v>130062</v>
          </cell>
          <cell r="I81">
            <v>104031</v>
          </cell>
          <cell r="J81">
            <v>82932</v>
          </cell>
          <cell r="K81">
            <v>68316</v>
          </cell>
          <cell r="L81">
            <v>70119</v>
          </cell>
          <cell r="M81">
            <v>76086</v>
          </cell>
          <cell r="N81">
            <v>79680</v>
          </cell>
          <cell r="O81">
            <v>106751</v>
          </cell>
          <cell r="P81">
            <v>169079</v>
          </cell>
          <cell r="T81">
            <v>78</v>
          </cell>
          <cell r="U81" t="str">
            <v>Residential</v>
          </cell>
          <cell r="W81">
            <v>1393785</v>
          </cell>
          <cell r="X81">
            <v>222590</v>
          </cell>
          <cell r="Y81">
            <v>157061</v>
          </cell>
          <cell r="Z81">
            <v>143411</v>
          </cell>
          <cell r="AA81">
            <v>139659</v>
          </cell>
          <cell r="AB81">
            <v>100939</v>
          </cell>
          <cell r="AC81">
            <v>88686</v>
          </cell>
          <cell r="AD81">
            <v>71601</v>
          </cell>
          <cell r="AE81">
            <v>68167</v>
          </cell>
          <cell r="AF81">
            <v>74445</v>
          </cell>
          <cell r="AG81">
            <v>68583</v>
          </cell>
          <cell r="AH81">
            <v>101883</v>
          </cell>
          <cell r="AI81">
            <v>156760</v>
          </cell>
        </row>
        <row r="82">
          <cell r="A82">
            <v>79</v>
          </cell>
          <cell r="B82" t="str">
            <v>Commercial</v>
          </cell>
          <cell r="D82">
            <v>1714574</v>
          </cell>
          <cell r="E82">
            <v>182932</v>
          </cell>
          <cell r="F82">
            <v>171965</v>
          </cell>
          <cell r="G82">
            <v>149149</v>
          </cell>
          <cell r="H82">
            <v>156232</v>
          </cell>
          <cell r="I82">
            <v>138016</v>
          </cell>
          <cell r="J82">
            <v>132307</v>
          </cell>
          <cell r="K82">
            <v>108687</v>
          </cell>
          <cell r="L82">
            <v>122072</v>
          </cell>
          <cell r="M82">
            <v>113968</v>
          </cell>
          <cell r="N82">
            <v>121838</v>
          </cell>
          <cell r="O82">
            <v>145032</v>
          </cell>
          <cell r="P82">
            <v>172376</v>
          </cell>
          <cell r="T82">
            <v>79</v>
          </cell>
          <cell r="U82" t="str">
            <v>Commercial</v>
          </cell>
          <cell r="W82">
            <v>1722081</v>
          </cell>
          <cell r="X82">
            <v>196134</v>
          </cell>
          <cell r="Y82">
            <v>178291</v>
          </cell>
          <cell r="Z82">
            <v>161119</v>
          </cell>
          <cell r="AA82">
            <v>161740</v>
          </cell>
          <cell r="AB82">
            <v>138404</v>
          </cell>
          <cell r="AC82">
            <v>132048</v>
          </cell>
          <cell r="AD82">
            <v>110867</v>
          </cell>
          <cell r="AE82">
            <v>112674</v>
          </cell>
          <cell r="AF82">
            <v>113550</v>
          </cell>
          <cell r="AG82">
            <v>105972</v>
          </cell>
          <cell r="AH82">
            <v>141433</v>
          </cell>
          <cell r="AI82">
            <v>169849</v>
          </cell>
        </row>
        <row r="83">
          <cell r="A83">
            <v>80</v>
          </cell>
          <cell r="B83" t="str">
            <v xml:space="preserve">Industrial </v>
          </cell>
          <cell r="D83">
            <v>4968745</v>
          </cell>
          <cell r="E83">
            <v>485508</v>
          </cell>
          <cell r="F83">
            <v>435072</v>
          </cell>
          <cell r="G83">
            <v>426657</v>
          </cell>
          <cell r="H83">
            <v>426367</v>
          </cell>
          <cell r="I83">
            <v>412801</v>
          </cell>
          <cell r="J83">
            <v>387606</v>
          </cell>
          <cell r="K83">
            <v>368966</v>
          </cell>
          <cell r="L83">
            <v>378791</v>
          </cell>
          <cell r="M83">
            <v>366602</v>
          </cell>
          <cell r="N83">
            <v>392861</v>
          </cell>
          <cell r="O83">
            <v>425164</v>
          </cell>
          <cell r="P83">
            <v>462350</v>
          </cell>
          <cell r="T83">
            <v>80</v>
          </cell>
          <cell r="U83" t="str">
            <v xml:space="preserve">Industrial </v>
          </cell>
          <cell r="W83">
            <v>4900998</v>
          </cell>
          <cell r="X83">
            <v>460431</v>
          </cell>
          <cell r="Y83">
            <v>419567</v>
          </cell>
          <cell r="Z83">
            <v>424532</v>
          </cell>
          <cell r="AA83">
            <v>432680</v>
          </cell>
          <cell r="AB83">
            <v>410929</v>
          </cell>
          <cell r="AC83">
            <v>402341</v>
          </cell>
          <cell r="AD83">
            <v>377048</v>
          </cell>
          <cell r="AE83">
            <v>378314</v>
          </cell>
          <cell r="AF83">
            <v>374937</v>
          </cell>
          <cell r="AG83">
            <v>376320</v>
          </cell>
          <cell r="AH83">
            <v>408606</v>
          </cell>
          <cell r="AI83">
            <v>435293</v>
          </cell>
        </row>
        <row r="84">
          <cell r="A84">
            <v>81</v>
          </cell>
          <cell r="B84" t="str">
            <v>Other</v>
          </cell>
          <cell r="D84">
            <v>2574925</v>
          </cell>
          <cell r="E84">
            <v>225934</v>
          </cell>
          <cell r="F84">
            <v>103580</v>
          </cell>
          <cell r="G84">
            <v>225877</v>
          </cell>
          <cell r="H84">
            <v>201883</v>
          </cell>
          <cell r="I84">
            <v>210181</v>
          </cell>
          <cell r="J84">
            <v>222007</v>
          </cell>
          <cell r="K84">
            <v>196987</v>
          </cell>
          <cell r="L84">
            <v>199378</v>
          </cell>
          <cell r="M84">
            <v>186902</v>
          </cell>
          <cell r="N84">
            <v>257522</v>
          </cell>
          <cell r="O84">
            <v>253417</v>
          </cell>
          <cell r="P84">
            <v>291257</v>
          </cell>
          <cell r="T84">
            <v>81</v>
          </cell>
          <cell r="U84" t="str">
            <v>Other</v>
          </cell>
          <cell r="W84">
            <v>2338815</v>
          </cell>
          <cell r="X84">
            <v>199975</v>
          </cell>
          <cell r="Y84">
            <v>104390</v>
          </cell>
          <cell r="Z84">
            <v>216142</v>
          </cell>
          <cell r="AA84">
            <v>170064</v>
          </cell>
          <cell r="AB84">
            <v>169563</v>
          </cell>
          <cell r="AC84">
            <v>124513</v>
          </cell>
          <cell r="AD84">
            <v>131966</v>
          </cell>
          <cell r="AE84">
            <v>158526</v>
          </cell>
          <cell r="AF84">
            <v>144484</v>
          </cell>
          <cell r="AG84">
            <v>218496</v>
          </cell>
          <cell r="AH84">
            <v>209363</v>
          </cell>
          <cell r="AI84">
            <v>491333</v>
          </cell>
        </row>
        <row r="85">
          <cell r="A85">
            <v>82</v>
          </cell>
          <cell r="B85" t="str">
            <v>Total Deliveries</v>
          </cell>
          <cell r="C85"/>
          <cell r="D85">
            <v>10650626</v>
          </cell>
          <cell r="E85">
            <v>1091612</v>
          </cell>
          <cell r="F85">
            <v>881668</v>
          </cell>
          <cell r="G85">
            <v>938720</v>
          </cell>
          <cell r="H85">
            <v>914544</v>
          </cell>
          <cell r="I85">
            <v>865029</v>
          </cell>
          <cell r="J85">
            <v>824852</v>
          </cell>
          <cell r="K85">
            <v>742956</v>
          </cell>
          <cell r="L85">
            <v>770360</v>
          </cell>
          <cell r="M85">
            <v>743558</v>
          </cell>
          <cell r="N85">
            <v>851901</v>
          </cell>
          <cell r="O85">
            <v>930364</v>
          </cell>
          <cell r="P85">
            <v>1095062</v>
          </cell>
          <cell r="T85">
            <v>82</v>
          </cell>
          <cell r="U85" t="str">
            <v>Total Deliveries</v>
          </cell>
          <cell r="V85"/>
          <cell r="W85">
            <v>10355679</v>
          </cell>
          <cell r="X85">
            <v>1079130</v>
          </cell>
          <cell r="Y85">
            <v>859309</v>
          </cell>
          <cell r="Z85">
            <v>945204</v>
          </cell>
          <cell r="AA85">
            <v>904143</v>
          </cell>
          <cell r="AB85">
            <v>819835</v>
          </cell>
          <cell r="AC85">
            <v>747588</v>
          </cell>
          <cell r="AD85">
            <v>691482</v>
          </cell>
          <cell r="AE85">
            <v>717681</v>
          </cell>
          <cell r="AF85">
            <v>707416</v>
          </cell>
          <cell r="AG85">
            <v>769371</v>
          </cell>
          <cell r="AH85">
            <v>861285</v>
          </cell>
          <cell r="AI85">
            <v>1253235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X86"/>
          <cell r="Y86"/>
          <cell r="Z86"/>
          <cell r="AA86"/>
          <cell r="AB86"/>
          <cell r="AC86"/>
          <cell r="AD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X87"/>
          <cell r="Y87"/>
          <cell r="Z87"/>
          <cell r="AA87"/>
          <cell r="AB87"/>
          <cell r="AC87"/>
          <cell r="AD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T88">
            <v>85</v>
          </cell>
          <cell r="U88" t="str">
            <v>YTD/CUMULATIVE SECTION</v>
          </cell>
          <cell r="X88"/>
          <cell r="Y88"/>
          <cell r="Z88"/>
          <cell r="AA88"/>
          <cell r="AB88"/>
          <cell r="AC88"/>
          <cell r="AD88"/>
        </row>
        <row r="89">
          <cell r="A89">
            <v>86</v>
          </cell>
          <cell r="B89" t="str">
            <v>Customers- YTD average cumulative - 2019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- 2018</v>
          </cell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56743</v>
          </cell>
          <cell r="F91">
            <v>56770</v>
          </cell>
          <cell r="G91">
            <v>56829</v>
          </cell>
          <cell r="H91">
            <v>56980</v>
          </cell>
          <cell r="I91">
            <v>57069</v>
          </cell>
          <cell r="J91">
            <v>57166</v>
          </cell>
          <cell r="K91">
            <v>57328</v>
          </cell>
          <cell r="L91">
            <v>57386</v>
          </cell>
          <cell r="M91">
            <v>57444</v>
          </cell>
          <cell r="N91">
            <v>57501</v>
          </cell>
          <cell r="O91">
            <v>57569</v>
          </cell>
          <cell r="P91">
            <v>57653</v>
          </cell>
          <cell r="T91">
            <v>88</v>
          </cell>
          <cell r="U91" t="str">
            <v>Residential</v>
          </cell>
          <cell r="V91"/>
          <cell r="W91"/>
          <cell r="X91">
            <v>55186</v>
          </cell>
          <cell r="Y91">
            <v>55190</v>
          </cell>
          <cell r="Z91">
            <v>55280</v>
          </cell>
          <cell r="AA91">
            <v>55343</v>
          </cell>
          <cell r="AB91">
            <v>55379</v>
          </cell>
          <cell r="AC91">
            <v>55430</v>
          </cell>
          <cell r="AD91">
            <v>55459</v>
          </cell>
          <cell r="AE91">
            <v>55500</v>
          </cell>
          <cell r="AF91">
            <v>55541</v>
          </cell>
          <cell r="AG91">
            <v>55577</v>
          </cell>
          <cell r="AH91">
            <v>55636</v>
          </cell>
          <cell r="AI91">
            <v>55701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3892</v>
          </cell>
          <cell r="F92">
            <v>3897</v>
          </cell>
          <cell r="G92">
            <v>3897</v>
          </cell>
          <cell r="H92">
            <v>3908</v>
          </cell>
          <cell r="I92">
            <v>3913</v>
          </cell>
          <cell r="J92">
            <v>3917</v>
          </cell>
          <cell r="K92">
            <v>3917</v>
          </cell>
          <cell r="L92">
            <v>3920</v>
          </cell>
          <cell r="M92">
            <v>3923</v>
          </cell>
          <cell r="N92">
            <v>3926</v>
          </cell>
          <cell r="O92">
            <v>3929</v>
          </cell>
          <cell r="P92">
            <v>3932</v>
          </cell>
          <cell r="T92">
            <v>89</v>
          </cell>
          <cell r="U92" t="str">
            <v>Commercial</v>
          </cell>
          <cell r="V92"/>
          <cell r="W92"/>
          <cell r="X92">
            <v>3934</v>
          </cell>
          <cell r="Y92">
            <v>3927</v>
          </cell>
          <cell r="Z92">
            <v>3927</v>
          </cell>
          <cell r="AA92">
            <v>3931</v>
          </cell>
          <cell r="AB92">
            <v>3931</v>
          </cell>
          <cell r="AC92">
            <v>3928</v>
          </cell>
          <cell r="AD92">
            <v>3924</v>
          </cell>
          <cell r="AE92">
            <v>3923</v>
          </cell>
          <cell r="AF92">
            <v>3923</v>
          </cell>
          <cell r="AG92">
            <v>3919</v>
          </cell>
          <cell r="AH92">
            <v>3918</v>
          </cell>
          <cell r="AI92">
            <v>3915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2409</v>
          </cell>
          <cell r="F93">
            <v>2412</v>
          </cell>
          <cell r="G93">
            <v>2415</v>
          </cell>
          <cell r="H93">
            <v>2420</v>
          </cell>
          <cell r="I93">
            <v>2422</v>
          </cell>
          <cell r="J93">
            <v>2425</v>
          </cell>
          <cell r="K93">
            <v>2427</v>
          </cell>
          <cell r="L93">
            <v>2428</v>
          </cell>
          <cell r="M93">
            <v>2430</v>
          </cell>
          <cell r="N93">
            <v>2431</v>
          </cell>
          <cell r="O93">
            <v>2434</v>
          </cell>
          <cell r="P93">
            <v>2436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2233</v>
          </cell>
          <cell r="Y93">
            <v>2242</v>
          </cell>
          <cell r="Z93">
            <v>2251</v>
          </cell>
          <cell r="AA93">
            <v>2258</v>
          </cell>
          <cell r="AB93">
            <v>2262</v>
          </cell>
          <cell r="AC93">
            <v>2269</v>
          </cell>
          <cell r="AD93">
            <v>2275</v>
          </cell>
          <cell r="AE93">
            <v>2280</v>
          </cell>
          <cell r="AF93">
            <v>2289</v>
          </cell>
          <cell r="AG93">
            <v>2296</v>
          </cell>
          <cell r="AH93">
            <v>2303</v>
          </cell>
          <cell r="AI93">
            <v>2312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12</v>
          </cell>
          <cell r="F94">
            <v>12</v>
          </cell>
          <cell r="G94">
            <v>12</v>
          </cell>
          <cell r="H94">
            <v>12</v>
          </cell>
          <cell r="I94">
            <v>12</v>
          </cell>
          <cell r="J94">
            <v>12</v>
          </cell>
          <cell r="K94">
            <v>12</v>
          </cell>
          <cell r="L94">
            <v>12</v>
          </cell>
          <cell r="M94">
            <v>12</v>
          </cell>
          <cell r="N94">
            <v>12</v>
          </cell>
          <cell r="O94">
            <v>12</v>
          </cell>
          <cell r="P94">
            <v>12</v>
          </cell>
          <cell r="T94">
            <v>91</v>
          </cell>
          <cell r="U94" t="str">
            <v>Other</v>
          </cell>
          <cell r="V94"/>
          <cell r="W94"/>
          <cell r="X94">
            <v>10</v>
          </cell>
          <cell r="Y94">
            <v>10</v>
          </cell>
          <cell r="Z94">
            <v>10</v>
          </cell>
          <cell r="AA94">
            <v>10</v>
          </cell>
          <cell r="AB94">
            <v>10</v>
          </cell>
          <cell r="AC94">
            <v>11</v>
          </cell>
          <cell r="AD94">
            <v>11</v>
          </cell>
          <cell r="AE94">
            <v>11</v>
          </cell>
          <cell r="AF94">
            <v>11</v>
          </cell>
          <cell r="AG94">
            <v>11</v>
          </cell>
          <cell r="AH94">
            <v>11</v>
          </cell>
          <cell r="AI94">
            <v>11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63056</v>
          </cell>
          <cell r="F95">
            <v>63091</v>
          </cell>
          <cell r="G95">
            <v>63153</v>
          </cell>
          <cell r="H95">
            <v>63320</v>
          </cell>
          <cell r="I95">
            <v>63416</v>
          </cell>
          <cell r="J95">
            <v>63520</v>
          </cell>
          <cell r="K95">
            <v>63684</v>
          </cell>
          <cell r="L95">
            <v>63746</v>
          </cell>
          <cell r="M95">
            <v>63809</v>
          </cell>
          <cell r="N95">
            <v>63870</v>
          </cell>
          <cell r="O95">
            <v>63944</v>
          </cell>
          <cell r="P95">
            <v>64033</v>
          </cell>
          <cell r="T95">
            <v>92</v>
          </cell>
          <cell r="U95" t="str">
            <v>Total customers</v>
          </cell>
          <cell r="V95"/>
          <cell r="W95"/>
          <cell r="X95">
            <v>61363</v>
          </cell>
          <cell r="Y95">
            <v>61369</v>
          </cell>
          <cell r="Z95">
            <v>61468</v>
          </cell>
          <cell r="AA95">
            <v>61542</v>
          </cell>
          <cell r="AB95">
            <v>61582</v>
          </cell>
          <cell r="AC95">
            <v>61638</v>
          </cell>
          <cell r="AD95">
            <v>61669</v>
          </cell>
          <cell r="AE95">
            <v>61714</v>
          </cell>
          <cell r="AF95">
            <v>61764</v>
          </cell>
          <cell r="AG95">
            <v>61803</v>
          </cell>
          <cell r="AH95">
            <v>61868</v>
          </cell>
          <cell r="AI95">
            <v>61939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82858</v>
          </cell>
          <cell r="T97">
            <v>94</v>
          </cell>
        </row>
        <row r="98">
          <cell r="A98">
            <v>95</v>
          </cell>
          <cell r="B98" t="str">
            <v>Volume - 2019 -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- 2018 -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192071.13448242616</v>
          </cell>
          <cell r="F99">
            <v>358641.38280261366</v>
          </cell>
          <cell r="G99">
            <v>492088.5149479066</v>
          </cell>
          <cell r="H99">
            <v>618743.64514559123</v>
          </cell>
          <cell r="I99">
            <v>720049.76648165577</v>
          </cell>
          <cell r="J99">
            <v>800809.48018309043</v>
          </cell>
          <cell r="K99">
            <v>867335.96864350722</v>
          </cell>
          <cell r="L99">
            <v>935618.23760835489</v>
          </cell>
          <cell r="M99">
            <v>1009711.5290680911</v>
          </cell>
          <cell r="N99">
            <v>1087304.4086084582</v>
          </cell>
          <cell r="O99">
            <v>1191259.4538903781</v>
          </cell>
          <cell r="P99">
            <v>1355909.7022105688</v>
          </cell>
          <cell r="T99">
            <v>96</v>
          </cell>
          <cell r="U99" t="str">
            <v>Residential</v>
          </cell>
          <cell r="W99"/>
          <cell r="X99">
            <v>216758.88596747493</v>
          </cell>
          <cell r="Y99">
            <v>369705.61885285808</v>
          </cell>
          <cell r="Z99">
            <v>509359.91820040898</v>
          </cell>
          <cell r="AA99">
            <v>645360.11296134</v>
          </cell>
          <cell r="AB99">
            <v>743654.88363034383</v>
          </cell>
          <cell r="AC99">
            <v>830018.11276657914</v>
          </cell>
          <cell r="AD99">
            <v>899743.79199532582</v>
          </cell>
          <cell r="AE99">
            <v>966125.13389814016</v>
          </cell>
          <cell r="AF99">
            <v>1038619.5345213751</v>
          </cell>
          <cell r="AG99">
            <v>1105406.3950598889</v>
          </cell>
          <cell r="AH99">
            <v>1204620.5648914226</v>
          </cell>
          <cell r="AI99">
            <v>1357274.1786804965</v>
          </cell>
        </row>
        <row r="100">
          <cell r="A100">
            <v>97</v>
          </cell>
          <cell r="B100" t="str">
            <v>Commercial</v>
          </cell>
          <cell r="D100"/>
          <cell r="E100">
            <v>178139.71633070408</v>
          </cell>
          <cell r="F100">
            <v>345600.09192715923</v>
          </cell>
          <cell r="G100">
            <v>490842.43655662658</v>
          </cell>
          <cell r="H100">
            <v>642981.84108287073</v>
          </cell>
          <cell r="I100">
            <v>777382.90642516315</v>
          </cell>
          <cell r="J100">
            <v>906224.33986561501</v>
          </cell>
          <cell r="K100">
            <v>1012064.6894614862</v>
          </cell>
          <cell r="L100">
            <v>1130939.3539857825</v>
          </cell>
          <cell r="M100">
            <v>1241921.4603252506</v>
          </cell>
          <cell r="N100">
            <v>1360568.122122894</v>
          </cell>
          <cell r="O100">
            <v>1501800.898439965</v>
          </cell>
          <cell r="P100">
            <v>1669661.2645905153</v>
          </cell>
          <cell r="T100">
            <v>97</v>
          </cell>
          <cell r="U100" t="str">
            <v>Commercial</v>
          </cell>
          <cell r="W100"/>
          <cell r="X100">
            <v>190995.81263998442</v>
          </cell>
          <cell r="Y100">
            <v>364615.93144415226</v>
          </cell>
          <cell r="Z100">
            <v>521513.97409679613</v>
          </cell>
          <cell r="AA100">
            <v>679016.94420099317</v>
          </cell>
          <cell r="AB100">
            <v>813795.50102249475</v>
          </cell>
          <cell r="AC100">
            <v>942384.45807770942</v>
          </cell>
          <cell r="AD100">
            <v>1050346.7718375693</v>
          </cell>
          <cell r="AE100">
            <v>1160068.8479890933</v>
          </cell>
          <cell r="AF100">
            <v>1270644.1717791411</v>
          </cell>
          <cell r="AG100">
            <v>1373839.8328503261</v>
          </cell>
          <cell r="AH100">
            <v>1511567.5930996202</v>
          </cell>
          <cell r="AI100">
            <v>1676967.2903437531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472789.75557503139</v>
          </cell>
          <cell r="F101">
            <v>896465.11442204658</v>
          </cell>
          <cell r="G101">
            <v>1311946.1096504037</v>
          </cell>
          <cell r="H101">
            <v>1727144.020839419</v>
          </cell>
          <cell r="I101">
            <v>2129131.5580874467</v>
          </cell>
          <cell r="J101">
            <v>2506583.9497516789</v>
          </cell>
          <cell r="K101">
            <v>2865884.3850423596</v>
          </cell>
          <cell r="L101">
            <v>3234753.2943811463</v>
          </cell>
          <cell r="M101">
            <v>3591751.9057357088</v>
          </cell>
          <cell r="N101">
            <v>3974321.8463336248</v>
          </cell>
          <cell r="O101">
            <v>4388349.007693056</v>
          </cell>
          <cell r="P101">
            <v>4838587.8264680095</v>
          </cell>
          <cell r="T101">
            <v>98</v>
          </cell>
          <cell r="U101" t="str">
            <v xml:space="preserve">Industrial </v>
          </cell>
          <cell r="W101"/>
          <cell r="X101">
            <v>448369.94838835328</v>
          </cell>
          <cell r="Y101">
            <v>856946.1486025902</v>
          </cell>
          <cell r="Z101">
            <v>1270357.1915473754</v>
          </cell>
          <cell r="AA101">
            <v>1691703.2817216865</v>
          </cell>
          <cell r="AB101">
            <v>2091867.7573278798</v>
          </cell>
          <cell r="AC101">
            <v>2483669.003797838</v>
          </cell>
          <cell r="AD101">
            <v>2850839.6143733566</v>
          </cell>
          <cell r="AE101">
            <v>3219243.0616418347</v>
          </cell>
          <cell r="AF101">
            <v>3584358.4574934267</v>
          </cell>
          <cell r="AG101">
            <v>3950820.8574934267</v>
          </cell>
          <cell r="AH101">
            <v>4348723.4965040414</v>
          </cell>
          <cell r="AI101">
            <v>4772613.4965040414</v>
          </cell>
        </row>
        <row r="102">
          <cell r="A102">
            <v>99</v>
          </cell>
          <cell r="B102" t="str">
            <v>Other</v>
          </cell>
          <cell r="D102"/>
          <cell r="E102">
            <v>220015.97078586035</v>
          </cell>
          <cell r="F102">
            <v>320882.44600253191</v>
          </cell>
          <cell r="G102">
            <v>540842.44132826955</v>
          </cell>
          <cell r="H102">
            <v>737436.93056772812</v>
          </cell>
          <cell r="I102">
            <v>942111.84146460216</v>
          </cell>
          <cell r="J102">
            <v>1158303.7501217255</v>
          </cell>
          <cell r="K102">
            <v>1350130.8513974096</v>
          </cell>
          <cell r="L102">
            <v>1544285.6480669978</v>
          </cell>
          <cell r="M102">
            <v>1726291.7258739898</v>
          </cell>
          <cell r="N102">
            <v>1977068.0299931834</v>
          </cell>
          <cell r="O102">
            <v>2223846.6059012562</v>
          </cell>
          <cell r="P102">
            <v>2507473.7423312883</v>
          </cell>
          <cell r="T102">
            <v>99</v>
          </cell>
          <cell r="U102" t="str">
            <v>Other</v>
          </cell>
          <cell r="W102"/>
          <cell r="X102">
            <v>194736.14383094752</v>
          </cell>
          <cell r="Y102">
            <v>296391.47054240922</v>
          </cell>
          <cell r="Z102">
            <v>506871.36147628789</v>
          </cell>
          <cell r="AA102">
            <v>672480.37890739122</v>
          </cell>
          <cell r="AB102">
            <v>837601.52020644664</v>
          </cell>
          <cell r="AC102">
            <v>958852.96903301205</v>
          </cell>
          <cell r="AD102">
            <v>1087361.7470055507</v>
          </cell>
          <cell r="AE102">
            <v>1241734.9260882267</v>
          </cell>
          <cell r="AF102">
            <v>1382433.8773006136</v>
          </cell>
          <cell r="AG102">
            <v>1595206.1344678157</v>
          </cell>
          <cell r="AH102">
            <v>1799085.1704012076</v>
          </cell>
          <cell r="AI102">
            <v>2277547.9507108778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1063016.5771740221</v>
          </cell>
          <cell r="F103">
            <v>1921589.0351543515</v>
          </cell>
          <cell r="G103">
            <v>2835719.5024832063</v>
          </cell>
          <cell r="H103">
            <v>3726306.4376356089</v>
          </cell>
          <cell r="I103">
            <v>4568676.0724588679</v>
          </cell>
          <cell r="J103">
            <v>5371921.5199221103</v>
          </cell>
          <cell r="K103">
            <v>6095415.8945447635</v>
          </cell>
          <cell r="L103">
            <v>6845596.5340422811</v>
          </cell>
          <cell r="M103">
            <v>7569676.621003041</v>
          </cell>
          <cell r="N103">
            <v>8399262.4070581608</v>
          </cell>
          <cell r="O103">
            <v>9305255.9659246542</v>
          </cell>
          <cell r="P103">
            <v>10371632.535600383</v>
          </cell>
          <cell r="T103">
            <v>100</v>
          </cell>
          <cell r="U103" t="str">
            <v>Total Deliveries</v>
          </cell>
          <cell r="V103"/>
          <cell r="W103"/>
          <cell r="X103">
            <v>1050860.7908267602</v>
          </cell>
          <cell r="Y103">
            <v>1887659.1694420099</v>
          </cell>
          <cell r="Z103">
            <v>2808102.4453208684</v>
          </cell>
          <cell r="AA103">
            <v>3688560.7177914111</v>
          </cell>
          <cell r="AB103">
            <v>4486919.6621871646</v>
          </cell>
          <cell r="AC103">
            <v>5214924.5436751386</v>
          </cell>
          <cell r="AD103">
            <v>5888291.9252118021</v>
          </cell>
          <cell r="AE103">
            <v>6587171.9696172951</v>
          </cell>
          <cell r="AF103">
            <v>7276056.0410945565</v>
          </cell>
          <cell r="AG103">
            <v>8025273.2198714577</v>
          </cell>
          <cell r="AH103">
            <v>8863996.8248962928</v>
          </cell>
          <cell r="AI103">
            <v>10084402.916239168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- 2019 -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- 2018 -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197238</v>
          </cell>
          <cell r="F107">
            <v>368289</v>
          </cell>
          <cell r="G107">
            <v>505326</v>
          </cell>
          <cell r="H107">
            <v>635388</v>
          </cell>
          <cell r="I107">
            <v>739419</v>
          </cell>
          <cell r="J107">
            <v>822351</v>
          </cell>
          <cell r="K107">
            <v>890667</v>
          </cell>
          <cell r="L107">
            <v>960786</v>
          </cell>
          <cell r="M107">
            <v>1036872</v>
          </cell>
          <cell r="N107">
            <v>1116552</v>
          </cell>
          <cell r="O107">
            <v>1223303</v>
          </cell>
          <cell r="P107">
            <v>1392382</v>
          </cell>
          <cell r="T107">
            <v>104</v>
          </cell>
          <cell r="U107" t="str">
            <v>Residential</v>
          </cell>
          <cell r="X107">
            <v>222590</v>
          </cell>
          <cell r="Y107">
            <v>379651</v>
          </cell>
          <cell r="Z107">
            <v>523062</v>
          </cell>
          <cell r="AA107">
            <v>662721</v>
          </cell>
          <cell r="AB107">
            <v>763660</v>
          </cell>
          <cell r="AC107">
            <v>852346</v>
          </cell>
          <cell r="AD107">
            <v>923947</v>
          </cell>
          <cell r="AE107">
            <v>992114</v>
          </cell>
          <cell r="AF107">
            <v>1066559</v>
          </cell>
          <cell r="AG107">
            <v>1135142</v>
          </cell>
          <cell r="AH107">
            <v>1237025</v>
          </cell>
          <cell r="AI107">
            <v>1393785</v>
          </cell>
        </row>
        <row r="108">
          <cell r="A108">
            <v>105</v>
          </cell>
          <cell r="B108" t="str">
            <v>Commercial</v>
          </cell>
          <cell r="D108"/>
          <cell r="E108">
            <v>182932</v>
          </cell>
          <cell r="F108">
            <v>354897</v>
          </cell>
          <cell r="G108">
            <v>504046</v>
          </cell>
          <cell r="H108">
            <v>660278</v>
          </cell>
          <cell r="I108">
            <v>798294</v>
          </cell>
          <cell r="J108">
            <v>930601</v>
          </cell>
          <cell r="K108">
            <v>1039288</v>
          </cell>
          <cell r="L108">
            <v>1161360</v>
          </cell>
          <cell r="M108">
            <v>1275328</v>
          </cell>
          <cell r="N108">
            <v>1397166</v>
          </cell>
          <cell r="O108">
            <v>1542198</v>
          </cell>
          <cell r="P108">
            <v>1714574</v>
          </cell>
          <cell r="T108">
            <v>105</v>
          </cell>
          <cell r="U108" t="str">
            <v>Commercial</v>
          </cell>
          <cell r="X108">
            <v>196134</v>
          </cell>
          <cell r="Y108">
            <v>374425</v>
          </cell>
          <cell r="Z108">
            <v>535544</v>
          </cell>
          <cell r="AA108">
            <v>697284</v>
          </cell>
          <cell r="AB108">
            <v>835688</v>
          </cell>
          <cell r="AC108">
            <v>967736</v>
          </cell>
          <cell r="AD108">
            <v>1078603</v>
          </cell>
          <cell r="AE108">
            <v>1191277</v>
          </cell>
          <cell r="AF108">
            <v>1304827</v>
          </cell>
          <cell r="AG108">
            <v>1410799</v>
          </cell>
          <cell r="AH108">
            <v>1552232</v>
          </cell>
          <cell r="AI108">
            <v>1722081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485508</v>
          </cell>
          <cell r="F109">
            <v>920580</v>
          </cell>
          <cell r="G109">
            <v>1347237</v>
          </cell>
          <cell r="H109">
            <v>1773604</v>
          </cell>
          <cell r="I109">
            <v>2186405</v>
          </cell>
          <cell r="J109">
            <v>2574011</v>
          </cell>
          <cell r="K109">
            <v>2942977</v>
          </cell>
          <cell r="L109">
            <v>3321768</v>
          </cell>
          <cell r="M109">
            <v>3688370</v>
          </cell>
          <cell r="N109">
            <v>4081231</v>
          </cell>
          <cell r="O109">
            <v>4506395</v>
          </cell>
          <cell r="P109">
            <v>4968745</v>
          </cell>
          <cell r="T109">
            <v>106</v>
          </cell>
          <cell r="U109" t="str">
            <v xml:space="preserve">Industrial </v>
          </cell>
          <cell r="W109"/>
          <cell r="X109">
            <v>460431</v>
          </cell>
          <cell r="Y109">
            <v>879998</v>
          </cell>
          <cell r="Z109">
            <v>1304530</v>
          </cell>
          <cell r="AA109">
            <v>1737210</v>
          </cell>
          <cell r="AB109">
            <v>2148139</v>
          </cell>
          <cell r="AC109">
            <v>2550480</v>
          </cell>
          <cell r="AD109">
            <v>2927528</v>
          </cell>
          <cell r="AE109">
            <v>3305842</v>
          </cell>
          <cell r="AF109">
            <v>3680779</v>
          </cell>
          <cell r="AG109">
            <v>4057099</v>
          </cell>
          <cell r="AH109">
            <v>4465705</v>
          </cell>
          <cell r="AI109">
            <v>4900998</v>
          </cell>
        </row>
        <row r="110">
          <cell r="A110">
            <v>107</v>
          </cell>
          <cell r="B110" t="str">
            <v>Other</v>
          </cell>
          <cell r="D110"/>
          <cell r="E110">
            <v>225934</v>
          </cell>
          <cell r="F110">
            <v>329514</v>
          </cell>
          <cell r="G110">
            <v>555391</v>
          </cell>
          <cell r="H110">
            <v>757274</v>
          </cell>
          <cell r="I110">
            <v>967455</v>
          </cell>
          <cell r="J110">
            <v>1189462</v>
          </cell>
          <cell r="K110">
            <v>1386449</v>
          </cell>
          <cell r="L110">
            <v>1585827</v>
          </cell>
          <cell r="M110">
            <v>1772729</v>
          </cell>
          <cell r="N110">
            <v>2030251</v>
          </cell>
          <cell r="O110">
            <v>2283668</v>
          </cell>
          <cell r="P110">
            <v>2574925</v>
          </cell>
          <cell r="T110">
            <v>107</v>
          </cell>
          <cell r="U110" t="str">
            <v>Other</v>
          </cell>
          <cell r="W110"/>
          <cell r="X110">
            <v>199975</v>
          </cell>
          <cell r="Y110">
            <v>304365</v>
          </cell>
          <cell r="Z110">
            <v>520507</v>
          </cell>
          <cell r="AA110">
            <v>690571</v>
          </cell>
          <cell r="AB110">
            <v>860134</v>
          </cell>
          <cell r="AC110">
            <v>984647</v>
          </cell>
          <cell r="AD110">
            <v>1116613</v>
          </cell>
          <cell r="AE110">
            <v>1275139</v>
          </cell>
          <cell r="AF110">
            <v>1419623</v>
          </cell>
          <cell r="AG110">
            <v>1638119</v>
          </cell>
          <cell r="AH110">
            <v>1847482</v>
          </cell>
          <cell r="AI110">
            <v>2338815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1091612</v>
          </cell>
          <cell r="F111">
            <v>1973280</v>
          </cell>
          <cell r="G111">
            <v>2912000</v>
          </cell>
          <cell r="H111">
            <v>3826544</v>
          </cell>
          <cell r="I111">
            <v>4691573</v>
          </cell>
          <cell r="J111">
            <v>5516425</v>
          </cell>
          <cell r="K111">
            <v>6259381</v>
          </cell>
          <cell r="L111">
            <v>7029741</v>
          </cell>
          <cell r="M111">
            <v>7773299</v>
          </cell>
          <cell r="N111">
            <v>8625200</v>
          </cell>
          <cell r="O111">
            <v>9555564</v>
          </cell>
          <cell r="P111">
            <v>10650626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1079130</v>
          </cell>
          <cell r="Y111">
            <v>1938439</v>
          </cell>
          <cell r="Z111">
            <v>2883643</v>
          </cell>
          <cell r="AA111">
            <v>3787786</v>
          </cell>
          <cell r="AB111">
            <v>4607621</v>
          </cell>
          <cell r="AC111">
            <v>5355209</v>
          </cell>
          <cell r="AD111">
            <v>6046691</v>
          </cell>
          <cell r="AE111">
            <v>6764372</v>
          </cell>
          <cell r="AF111">
            <v>7471788</v>
          </cell>
          <cell r="AG111">
            <v>8241159</v>
          </cell>
          <cell r="AH111">
            <v>9102444</v>
          </cell>
          <cell r="AI111">
            <v>10355679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V113"/>
          <cell r="W113"/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62363</v>
          </cell>
          <cell r="F114">
            <v>62416</v>
          </cell>
          <cell r="G114">
            <v>62511</v>
          </cell>
          <cell r="H114">
            <v>62593</v>
          </cell>
          <cell r="I114">
            <v>62631</v>
          </cell>
          <cell r="J114">
            <v>62657</v>
          </cell>
          <cell r="K114">
            <v>62681</v>
          </cell>
          <cell r="L114">
            <v>62712</v>
          </cell>
          <cell r="M114">
            <v>62743</v>
          </cell>
          <cell r="N114">
            <v>62765</v>
          </cell>
          <cell r="O114">
            <v>62797</v>
          </cell>
          <cell r="P114">
            <v>62845</v>
          </cell>
          <cell r="T114">
            <v>111</v>
          </cell>
          <cell r="U114" t="str">
            <v xml:space="preserve">Customers </v>
          </cell>
          <cell r="V114"/>
          <cell r="W114"/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1003551.4655760054</v>
          </cell>
          <cell r="F115">
            <v>1948797.740773201</v>
          </cell>
          <cell r="G115">
            <v>2884171.8765215697</v>
          </cell>
          <cell r="H115">
            <v>3766689.3563151229</v>
          </cell>
          <cell r="I115">
            <v>4570652.6438796371</v>
          </cell>
          <cell r="J115">
            <v>5357104.9761417853</v>
          </cell>
          <cell r="K115">
            <v>6100147.2392638028</v>
          </cell>
          <cell r="L115">
            <v>6828440.6466062898</v>
          </cell>
          <cell r="M115">
            <v>7546691.2065439662</v>
          </cell>
          <cell r="N115">
            <v>8306756.9383581644</v>
          </cell>
          <cell r="O115">
            <v>9124942.156003505</v>
          </cell>
          <cell r="P115">
            <v>10038411.335086182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1030547</v>
          </cell>
          <cell r="F116">
            <v>2001220</v>
          </cell>
          <cell r="G116">
            <v>2961756</v>
          </cell>
          <cell r="H116">
            <v>3868013</v>
          </cell>
          <cell r="I116">
            <v>4693603</v>
          </cell>
          <cell r="J116">
            <v>5501211</v>
          </cell>
          <cell r="K116">
            <v>6264241</v>
          </cell>
          <cell r="L116">
            <v>7012126</v>
          </cell>
          <cell r="M116">
            <v>7749698</v>
          </cell>
          <cell r="N116">
            <v>8530210</v>
          </cell>
          <cell r="O116">
            <v>9370404</v>
          </cell>
          <cell r="P116">
            <v>10308446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16</v>
          </cell>
          <cell r="D7">
            <v>188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15</v>
          </cell>
          <cell r="J7">
            <v>15</v>
          </cell>
          <cell r="K7">
            <v>16</v>
          </cell>
          <cell r="L7">
            <v>14</v>
          </cell>
          <cell r="M7">
            <v>15</v>
          </cell>
          <cell r="N7">
            <v>16</v>
          </cell>
          <cell r="O7">
            <v>14</v>
          </cell>
          <cell r="P7">
            <v>15</v>
          </cell>
          <cell r="T7">
            <v>4</v>
          </cell>
          <cell r="U7" t="str">
            <v>Interruptible transporation</v>
          </cell>
          <cell r="V7">
            <v>17</v>
          </cell>
          <cell r="W7">
            <v>207</v>
          </cell>
          <cell r="X7">
            <v>17</v>
          </cell>
          <cell r="Y7">
            <v>16</v>
          </cell>
          <cell r="Z7">
            <v>17</v>
          </cell>
          <cell r="AA7">
            <v>16</v>
          </cell>
          <cell r="AB7">
            <v>16</v>
          </cell>
          <cell r="AC7">
            <v>18</v>
          </cell>
          <cell r="AD7">
            <v>18</v>
          </cell>
          <cell r="AE7">
            <v>18</v>
          </cell>
          <cell r="AF7">
            <v>18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13</v>
          </cell>
          <cell r="D9">
            <v>152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12</v>
          </cell>
          <cell r="J9">
            <v>12</v>
          </cell>
          <cell r="K9">
            <v>13</v>
          </cell>
          <cell r="L9">
            <v>11</v>
          </cell>
          <cell r="M9">
            <v>12</v>
          </cell>
          <cell r="N9">
            <v>13</v>
          </cell>
          <cell r="O9">
            <v>11</v>
          </cell>
          <cell r="P9">
            <v>12</v>
          </cell>
          <cell r="T9">
            <v>6</v>
          </cell>
          <cell r="U9" t="str">
            <v>Total customers</v>
          </cell>
          <cell r="V9">
            <v>14</v>
          </cell>
          <cell r="W9">
            <v>171</v>
          </cell>
          <cell r="X9">
            <v>14</v>
          </cell>
          <cell r="Y9">
            <v>13</v>
          </cell>
          <cell r="Z9">
            <v>14</v>
          </cell>
          <cell r="AA9">
            <v>13</v>
          </cell>
          <cell r="AB9">
            <v>13</v>
          </cell>
          <cell r="AC9">
            <v>15</v>
          </cell>
          <cell r="AD9">
            <v>15</v>
          </cell>
          <cell r="AE9">
            <v>15</v>
          </cell>
          <cell r="AF9">
            <v>15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(2018)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- 2017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/>
          <cell r="X12"/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/>
          <cell r="X13"/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56925329.472958371</v>
          </cell>
          <cell r="E14">
            <v>5683906.7201076737</v>
          </cell>
          <cell r="F14">
            <v>5060114.7645505061</v>
          </cell>
          <cell r="G14">
            <v>5354586.4205762679</v>
          </cell>
          <cell r="H14">
            <v>3917944.4352078852</v>
          </cell>
          <cell r="I14">
            <v>4423232.9327124339</v>
          </cell>
          <cell r="J14">
            <v>4460349.957215474</v>
          </cell>
          <cell r="K14">
            <v>4560984.6408340307</v>
          </cell>
          <cell r="L14">
            <v>4517442.8395373579</v>
          </cell>
          <cell r="M14">
            <v>4101162.6305443109</v>
          </cell>
          <cell r="N14">
            <v>4174692.7643467202</v>
          </cell>
          <cell r="O14">
            <v>5265836.6380472025</v>
          </cell>
          <cell r="P14">
            <v>5405074.7292785114</v>
          </cell>
          <cell r="T14">
            <v>11</v>
          </cell>
          <cell r="U14" t="str">
            <v>Transportation firm</v>
          </cell>
          <cell r="W14"/>
          <cell r="X14">
            <v>5122614</v>
          </cell>
          <cell r="Y14">
            <v>4447121</v>
          </cell>
          <cell r="Z14">
            <v>4925992</v>
          </cell>
          <cell r="AA14">
            <v>2823107</v>
          </cell>
          <cell r="AB14">
            <v>3886464</v>
          </cell>
          <cell r="AC14">
            <v>3825043</v>
          </cell>
          <cell r="AD14">
            <v>3904214</v>
          </cell>
          <cell r="AE14">
            <v>4010738</v>
          </cell>
          <cell r="AF14">
            <v>4091180</v>
          </cell>
          <cell r="AG14">
            <v>4085739</v>
          </cell>
          <cell r="AH14">
            <v>3880900</v>
          </cell>
          <cell r="AI14">
            <v>5293304</v>
          </cell>
        </row>
        <row r="15">
          <cell r="A15">
            <v>12</v>
          </cell>
          <cell r="B15" t="str">
            <v>Interruptible transportation</v>
          </cell>
          <cell r="D15">
            <v>597710.22637323232</v>
          </cell>
          <cell r="E15">
            <v>23466.434880499619</v>
          </cell>
          <cell r="F15">
            <v>48846.36219385334</v>
          </cell>
          <cell r="G15">
            <v>101510.37054590354</v>
          </cell>
          <cell r="H15">
            <v>24082.433249307338</v>
          </cell>
          <cell r="I15">
            <v>23589.767278039373</v>
          </cell>
          <cell r="J15">
            <v>25820.870956284707</v>
          </cell>
          <cell r="K15">
            <v>62476.316877771038</v>
          </cell>
          <cell r="L15">
            <v>36028.122871074163</v>
          </cell>
          <cell r="M15">
            <v>26659.308123581144</v>
          </cell>
          <cell r="N15">
            <v>82373.487383118714</v>
          </cell>
          <cell r="O15">
            <v>114962.65352481422</v>
          </cell>
          <cell r="P15">
            <v>27894.098488985102</v>
          </cell>
          <cell r="T15">
            <v>12</v>
          </cell>
          <cell r="U15" t="str">
            <v>Interruptible transporation</v>
          </cell>
          <cell r="W15"/>
          <cell r="X15">
            <v>142031</v>
          </cell>
          <cell r="Y15">
            <v>66447</v>
          </cell>
          <cell r="Z15">
            <v>25037</v>
          </cell>
          <cell r="AA15">
            <v>26041</v>
          </cell>
          <cell r="AB15">
            <v>72552</v>
          </cell>
          <cell r="AC15">
            <v>81262</v>
          </cell>
          <cell r="AD15">
            <v>90847</v>
          </cell>
          <cell r="AE15">
            <v>136911</v>
          </cell>
          <cell r="AF15">
            <v>465001</v>
          </cell>
          <cell r="AG15">
            <v>96565</v>
          </cell>
          <cell r="AH15">
            <v>49723</v>
          </cell>
          <cell r="AI15">
            <v>91903</v>
          </cell>
        </row>
        <row r="16">
          <cell r="A16">
            <v>13</v>
          </cell>
          <cell r="B16" t="str">
            <v>Less: ESNG to DE, MD &amp; SP</v>
          </cell>
          <cell r="D16">
            <v>-12980530.216464523</v>
          </cell>
          <cell r="E16">
            <v>-1984175.4248588751</v>
          </cell>
          <cell r="F16">
            <v>-1606039.2807321155</v>
          </cell>
          <cell r="G16">
            <v>-1535558.4188071499</v>
          </cell>
          <cell r="H16">
            <v>-833363.285413209</v>
          </cell>
          <cell r="I16">
            <v>-680677.33128548018</v>
          </cell>
          <cell r="J16">
            <v>-608699.16750647547</v>
          </cell>
          <cell r="K16">
            <v>-605464.67007126566</v>
          </cell>
          <cell r="L16">
            <v>-619206.45126721321</v>
          </cell>
          <cell r="M16">
            <v>-662887.22647457407</v>
          </cell>
          <cell r="N16">
            <v>-778064.25430139538</v>
          </cell>
          <cell r="O16">
            <v>-1385202.903014669</v>
          </cell>
          <cell r="P16">
            <v>-1681191.8027321005</v>
          </cell>
          <cell r="T16">
            <v>13</v>
          </cell>
          <cell r="U16" t="str">
            <v>Less: ESNG to DE, MD and SP</v>
          </cell>
          <cell r="W16"/>
          <cell r="X16">
            <v>-1569792</v>
          </cell>
          <cell r="Y16">
            <v>-1205900</v>
          </cell>
          <cell r="Z16">
            <v>-1391398</v>
          </cell>
          <cell r="AA16">
            <v>-720462</v>
          </cell>
          <cell r="AB16">
            <v>-662446</v>
          </cell>
          <cell r="AC16">
            <v>-554613</v>
          </cell>
          <cell r="AD16">
            <v>-516867</v>
          </cell>
          <cell r="AE16">
            <v>-580117</v>
          </cell>
          <cell r="AF16">
            <v>-612571</v>
          </cell>
          <cell r="AG16">
            <v>-721278</v>
          </cell>
          <cell r="AH16">
            <v>-1128586</v>
          </cell>
          <cell r="AI16">
            <v>-1709322</v>
          </cell>
        </row>
        <row r="17">
          <cell r="A17">
            <v>14</v>
          </cell>
          <cell r="B17" t="str">
            <v>Total Deliveries</v>
          </cell>
          <cell r="C17"/>
          <cell r="D17">
            <v>44542509.482867077</v>
          </cell>
          <cell r="E17">
            <v>3723197.7301292983</v>
          </cell>
          <cell r="F17">
            <v>3502921.846012244</v>
          </cell>
          <cell r="G17">
            <v>3920538.3723150212</v>
          </cell>
          <cell r="H17">
            <v>3108663.5830439837</v>
          </cell>
          <cell r="I17">
            <v>3766145.3687049933</v>
          </cell>
          <cell r="J17">
            <v>3877471.6606652834</v>
          </cell>
          <cell r="K17">
            <v>4017996.2876405362</v>
          </cell>
          <cell r="L17">
            <v>3934264.5111412187</v>
          </cell>
          <cell r="M17">
            <v>3464934.7121933177</v>
          </cell>
          <cell r="N17">
            <v>3479001.9974284433</v>
          </cell>
          <cell r="O17">
            <v>3995596.3885573475</v>
          </cell>
          <cell r="P17">
            <v>3751777.0250353962</v>
          </cell>
          <cell r="T17">
            <v>14</v>
          </cell>
          <cell r="U17" t="str">
            <v>Total Deliveries</v>
          </cell>
          <cell r="V17"/>
          <cell r="W17"/>
          <cell r="X17">
            <v>3694853</v>
          </cell>
          <cell r="Y17">
            <v>3307668</v>
          </cell>
          <cell r="Z17">
            <v>3559631</v>
          </cell>
          <cell r="AA17">
            <v>2128686</v>
          </cell>
          <cell r="AB17">
            <v>3296570</v>
          </cell>
          <cell r="AC17">
            <v>3351692</v>
          </cell>
          <cell r="AD17">
            <v>3478194</v>
          </cell>
          <cell r="AE17">
            <v>3567532</v>
          </cell>
          <cell r="AF17">
            <v>3943610</v>
          </cell>
          <cell r="AG17">
            <v>3461026</v>
          </cell>
          <cell r="AH17">
            <v>2802037</v>
          </cell>
          <cell r="AI17">
            <v>3675885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1.0446409999999999</v>
          </cell>
          <cell r="F20">
            <v>1.043005</v>
          </cell>
          <cell r="G20">
            <v>1.042327</v>
          </cell>
          <cell r="H20">
            <v>1.040551</v>
          </cell>
          <cell r="I20">
            <v>1.039137</v>
          </cell>
          <cell r="J20">
            <v>1.0389269999999999</v>
          </cell>
          <cell r="K20">
            <v>1.0397700000000001</v>
          </cell>
          <cell r="L20">
            <v>1.0451280000000001</v>
          </cell>
          <cell r="M20">
            <v>1.038249</v>
          </cell>
          <cell r="N20">
            <v>1.0398369999999999</v>
          </cell>
          <cell r="O20">
            <v>1.0389200000000001</v>
          </cell>
          <cell r="P20">
            <v>1.034735</v>
          </cell>
          <cell r="T20">
            <v>17</v>
          </cell>
          <cell r="X20">
            <v>1.05027</v>
          </cell>
          <cell r="Y20">
            <v>1.04891</v>
          </cell>
          <cell r="Z20">
            <v>1.04809</v>
          </cell>
          <cell r="AA20">
            <v>1.0459099999999999</v>
          </cell>
          <cell r="AB20">
            <v>1.0445599999999999</v>
          </cell>
          <cell r="AC20">
            <v>1.0474600000000001</v>
          </cell>
          <cell r="AD20">
            <v>1.04823</v>
          </cell>
          <cell r="AE20">
            <v>1.04386</v>
          </cell>
          <cell r="AF20">
            <v>1.04697</v>
          </cell>
          <cell r="AG20">
            <v>1.04914</v>
          </cell>
          <cell r="AH20">
            <v>1.0493600000000001</v>
          </cell>
          <cell r="AI20">
            <v>1.05077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59230053</v>
          </cell>
          <cell r="E22">
            <v>5937642</v>
          </cell>
          <cell r="F22">
            <v>5277725</v>
          </cell>
          <cell r="G22">
            <v>5581230</v>
          </cell>
          <cell r="H22">
            <v>4076821</v>
          </cell>
          <cell r="I22">
            <v>4596345</v>
          </cell>
          <cell r="J22">
            <v>4633978</v>
          </cell>
          <cell r="K22">
            <v>4742375</v>
          </cell>
          <cell r="L22">
            <v>4721306</v>
          </cell>
          <cell r="M22">
            <v>4258028</v>
          </cell>
          <cell r="N22">
            <v>4341000</v>
          </cell>
          <cell r="O22">
            <v>5470783</v>
          </cell>
          <cell r="P22">
            <v>5592820</v>
          </cell>
          <cell r="T22">
            <v>19</v>
          </cell>
          <cell r="U22" t="str">
            <v>Transportation firm</v>
          </cell>
          <cell r="W22"/>
          <cell r="X22">
            <v>5380127.8057800001</v>
          </cell>
          <cell r="Y22">
            <v>4664629.6881100005</v>
          </cell>
          <cell r="Z22">
            <v>5162882.9552799994</v>
          </cell>
          <cell r="AA22">
            <v>2952715.8423699997</v>
          </cell>
          <cell r="AB22">
            <v>4059644.8358399998</v>
          </cell>
          <cell r="AC22">
            <v>4006579.5407800004</v>
          </cell>
          <cell r="AD22">
            <v>4092514.2412200002</v>
          </cell>
          <cell r="AE22">
            <v>4186648.9686799999</v>
          </cell>
          <cell r="AF22">
            <v>4283342.7245999994</v>
          </cell>
          <cell r="AG22">
            <v>4286512.2144599995</v>
          </cell>
          <cell r="AH22">
            <v>4072461.2240000004</v>
          </cell>
          <cell r="AI22">
            <v>5562045.0440799994</v>
          </cell>
        </row>
        <row r="23">
          <cell r="A23">
            <v>20</v>
          </cell>
          <cell r="B23" t="str">
            <v>Interruptible transportation</v>
          </cell>
          <cell r="D23">
            <v>621915</v>
          </cell>
          <cell r="E23">
            <v>24514</v>
          </cell>
          <cell r="F23">
            <v>50947</v>
          </cell>
          <cell r="G23">
            <v>105807</v>
          </cell>
          <cell r="H23">
            <v>25059</v>
          </cell>
          <cell r="I23">
            <v>24513</v>
          </cell>
          <cell r="J23">
            <v>26826</v>
          </cell>
          <cell r="K23">
            <v>64961</v>
          </cell>
          <cell r="L23">
            <v>37654</v>
          </cell>
          <cell r="M23">
            <v>27679</v>
          </cell>
          <cell r="N23">
            <v>85655</v>
          </cell>
          <cell r="O23">
            <v>119437</v>
          </cell>
          <cell r="P23">
            <v>28863</v>
          </cell>
          <cell r="T23">
            <v>20</v>
          </cell>
          <cell r="U23" t="str">
            <v>Interruptible transportation</v>
          </cell>
          <cell r="W23"/>
          <cell r="X23">
            <v>149170.89837000001</v>
          </cell>
          <cell r="Y23">
            <v>69696.922770000005</v>
          </cell>
          <cell r="Z23">
            <v>26241.029329999998</v>
          </cell>
          <cell r="AA23">
            <v>27236.542309999997</v>
          </cell>
          <cell r="AB23">
            <v>75784.917119999998</v>
          </cell>
          <cell r="AC23">
            <v>85118.694520000005</v>
          </cell>
          <cell r="AD23">
            <v>95228.550810000001</v>
          </cell>
          <cell r="AE23">
            <v>142915.91646000001</v>
          </cell>
          <cell r="AF23">
            <v>486842.09696999996</v>
          </cell>
          <cell r="AG23">
            <v>101310.2041</v>
          </cell>
          <cell r="AH23">
            <v>52177.327280000005</v>
          </cell>
          <cell r="AI23">
            <v>96568.915309999997</v>
          </cell>
        </row>
        <row r="24">
          <cell r="A24">
            <v>21</v>
          </cell>
          <cell r="B24" t="str">
            <v>Less: ESNG to DE, MD &amp; SP</v>
          </cell>
          <cell r="D24">
            <v>-13507979</v>
          </cell>
          <cell r="E24">
            <v>-2072751</v>
          </cell>
          <cell r="F24">
            <v>-1675107</v>
          </cell>
          <cell r="G24">
            <v>-1600554</v>
          </cell>
          <cell r="H24">
            <v>-867157</v>
          </cell>
          <cell r="I24">
            <v>-707317</v>
          </cell>
          <cell r="J24">
            <v>-632394</v>
          </cell>
          <cell r="K24">
            <v>-629544</v>
          </cell>
          <cell r="L24">
            <v>-647150</v>
          </cell>
          <cell r="M24">
            <v>-688242</v>
          </cell>
          <cell r="N24">
            <v>-809060</v>
          </cell>
          <cell r="O24">
            <v>-1439115</v>
          </cell>
          <cell r="P24">
            <v>-1739588</v>
          </cell>
          <cell r="T24">
            <v>21</v>
          </cell>
          <cell r="U24" t="str">
            <v>Less: ESNG to DE, MD and SP</v>
          </cell>
          <cell r="W24"/>
          <cell r="X24">
            <v>-1648705.4438400001</v>
          </cell>
          <cell r="Y24">
            <v>-1264880.5689999999</v>
          </cell>
          <cell r="Z24">
            <v>-1458310.3298199999</v>
          </cell>
          <cell r="AA24">
            <v>-753538.41041999997</v>
          </cell>
          <cell r="AB24">
            <v>-691964.59375999996</v>
          </cell>
          <cell r="AC24">
            <v>-580934.93298000004</v>
          </cell>
          <cell r="AD24">
            <v>-541795.49540999997</v>
          </cell>
          <cell r="AE24">
            <v>-605560.93162000005</v>
          </cell>
          <cell r="AF24">
            <v>-641343.45987000002</v>
          </cell>
          <cell r="AG24">
            <v>-756721.60092</v>
          </cell>
          <cell r="AH24">
            <v>-1184293.00496</v>
          </cell>
          <cell r="AI24">
            <v>-1796104.2779399999</v>
          </cell>
        </row>
        <row r="25">
          <cell r="A25">
            <v>22</v>
          </cell>
          <cell r="B25" t="str">
            <v>Total Deliveries</v>
          </cell>
          <cell r="C25"/>
          <cell r="D25">
            <v>46343989</v>
          </cell>
          <cell r="E25">
            <v>3889405</v>
          </cell>
          <cell r="F25">
            <v>3653565</v>
          </cell>
          <cell r="G25">
            <v>4086483</v>
          </cell>
          <cell r="H25">
            <v>3234723</v>
          </cell>
          <cell r="I25">
            <v>3913541</v>
          </cell>
          <cell r="J25">
            <v>4028410</v>
          </cell>
          <cell r="K25">
            <v>4177792</v>
          </cell>
          <cell r="L25">
            <v>4111810</v>
          </cell>
          <cell r="M25">
            <v>3597465</v>
          </cell>
          <cell r="N25">
            <v>3617595</v>
          </cell>
          <cell r="O25">
            <v>4151105</v>
          </cell>
          <cell r="P25">
            <v>3882095</v>
          </cell>
          <cell r="T25">
            <v>22</v>
          </cell>
          <cell r="U25" t="str">
            <v>Total Deliveries</v>
          </cell>
          <cell r="V25"/>
          <cell r="W25"/>
          <cell r="X25">
            <v>3880593.2603099998</v>
          </cell>
          <cell r="Y25">
            <v>3469446.0418800004</v>
          </cell>
          <cell r="Z25">
            <v>3730813.6547900001</v>
          </cell>
          <cell r="AA25">
            <v>2226413.9742599996</v>
          </cell>
          <cell r="AB25">
            <v>3443465.1591999996</v>
          </cell>
          <cell r="AC25">
            <v>3510763.3023200002</v>
          </cell>
          <cell r="AD25">
            <v>3645947.2966200002</v>
          </cell>
          <cell r="AE25">
            <v>3724003.95352</v>
          </cell>
          <cell r="AF25">
            <v>4128841.3616999998</v>
          </cell>
          <cell r="AG25">
            <v>3631100.8176399991</v>
          </cell>
          <cell r="AH25">
            <v>2940345.5463200002</v>
          </cell>
          <cell r="AI25">
            <v>3862509.6814499996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62190514.009661831</v>
          </cell>
          <cell r="E29">
            <v>5297319.8067632858</v>
          </cell>
          <cell r="F29">
            <v>4803471.4975845413</v>
          </cell>
          <cell r="G29">
            <v>6047312.0772946868</v>
          </cell>
          <cell r="H29">
            <v>4215509.1787439613</v>
          </cell>
          <cell r="I29">
            <v>5475304.3478260869</v>
          </cell>
          <cell r="J29">
            <v>4696476.3285024157</v>
          </cell>
          <cell r="K29">
            <v>5151584.5410628021</v>
          </cell>
          <cell r="L29">
            <v>5452658.937198068</v>
          </cell>
          <cell r="M29">
            <v>5025822.2222222229</v>
          </cell>
          <cell r="N29">
            <v>5223084.0579710146</v>
          </cell>
          <cell r="O29">
            <v>4664700.4830917874</v>
          </cell>
          <cell r="P29">
            <v>6137270.5314009665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-12414835.748792272</v>
          </cell>
          <cell r="E30">
            <v>-1674839.6135265701</v>
          </cell>
          <cell r="F30">
            <v>-1301466.6666666667</v>
          </cell>
          <cell r="G30">
            <v>-1494527.5362318843</v>
          </cell>
          <cell r="H30">
            <v>-813378.74396135274</v>
          </cell>
          <cell r="I30">
            <v>-656681.15942028991</v>
          </cell>
          <cell r="J30">
            <v>-562522.70531400968</v>
          </cell>
          <cell r="K30">
            <v>-524480.19323671504</v>
          </cell>
          <cell r="L30">
            <v>-730763.2850241547</v>
          </cell>
          <cell r="M30">
            <v>-750591.30434782617</v>
          </cell>
          <cell r="N30">
            <v>-949766.18357487931</v>
          </cell>
          <cell r="O30">
            <v>-1235871.4975845411</v>
          </cell>
          <cell r="P30">
            <v>-1719946.8599033817</v>
          </cell>
          <cell r="T30">
            <v>27</v>
          </cell>
        </row>
        <row r="31">
          <cell r="A31">
            <v>28</v>
          </cell>
          <cell r="D31">
            <v>49775678.260869563</v>
          </cell>
          <cell r="E31">
            <v>3622480.1932367156</v>
          </cell>
          <cell r="F31">
            <v>3502004.8309178744</v>
          </cell>
          <cell r="G31">
            <v>4552784.5410628021</v>
          </cell>
          <cell r="H31">
            <v>3402130.4347826084</v>
          </cell>
          <cell r="I31">
            <v>4818623.1884057969</v>
          </cell>
          <cell r="J31">
            <v>4133953.6231884062</v>
          </cell>
          <cell r="K31">
            <v>4627104.3478260869</v>
          </cell>
          <cell r="L31">
            <v>4721895.6521739131</v>
          </cell>
          <cell r="M31">
            <v>4275230.9178743968</v>
          </cell>
          <cell r="N31">
            <v>4273317.8743961351</v>
          </cell>
          <cell r="O31">
            <v>3428828.9855072461</v>
          </cell>
          <cell r="P31">
            <v>4417323.6714975853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*1.035</v>
          </cell>
          <cell r="C33">
            <v>1.0349999999999999</v>
          </cell>
          <cell r="D33">
            <v>64367181.999999993</v>
          </cell>
          <cell r="E33">
            <v>5482726</v>
          </cell>
          <cell r="F33">
            <v>4971593</v>
          </cell>
          <cell r="G33">
            <v>6258968</v>
          </cell>
          <cell r="H33">
            <v>4363052</v>
          </cell>
          <cell r="I33">
            <v>5666940</v>
          </cell>
          <cell r="J33">
            <v>4860853</v>
          </cell>
          <cell r="K33">
            <v>5331890</v>
          </cell>
          <cell r="L33">
            <v>5643502</v>
          </cell>
          <cell r="M33">
            <v>5201726</v>
          </cell>
          <cell r="N33">
            <v>5405892</v>
          </cell>
          <cell r="O33">
            <v>4827965</v>
          </cell>
          <cell r="P33">
            <v>6352075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-12849355</v>
          </cell>
          <cell r="E34">
            <v>-1733459</v>
          </cell>
          <cell r="F34">
            <v>-1347018</v>
          </cell>
          <cell r="G34">
            <v>-1546836</v>
          </cell>
          <cell r="H34">
            <v>-841847</v>
          </cell>
          <cell r="I34">
            <v>-679665</v>
          </cell>
          <cell r="J34">
            <v>-582211</v>
          </cell>
          <cell r="K34">
            <v>-542837</v>
          </cell>
          <cell r="L34">
            <v>-756340</v>
          </cell>
          <cell r="M34">
            <v>-776862</v>
          </cell>
          <cell r="N34">
            <v>-983008</v>
          </cell>
          <cell r="O34">
            <v>-1279127</v>
          </cell>
          <cell r="P34">
            <v>-1780145</v>
          </cell>
          <cell r="T34">
            <v>31</v>
          </cell>
        </row>
        <row r="35">
          <cell r="A35">
            <v>32</v>
          </cell>
          <cell r="D35">
            <v>51517826.999999993</v>
          </cell>
          <cell r="E35">
            <v>3749267</v>
          </cell>
          <cell r="F35">
            <v>3624575</v>
          </cell>
          <cell r="G35">
            <v>4712132</v>
          </cell>
          <cell r="H35">
            <v>3521205</v>
          </cell>
          <cell r="I35">
            <v>4987275</v>
          </cell>
          <cell r="J35">
            <v>4278642</v>
          </cell>
          <cell r="K35">
            <v>4789053</v>
          </cell>
          <cell r="L35">
            <v>4887162</v>
          </cell>
          <cell r="M35">
            <v>4424864</v>
          </cell>
          <cell r="N35">
            <v>4422884</v>
          </cell>
          <cell r="O35">
            <v>3548838</v>
          </cell>
          <cell r="P35">
            <v>4571930</v>
          </cell>
          <cell r="T35">
            <v>32</v>
          </cell>
        </row>
        <row r="36">
          <cell r="A36">
            <v>33</v>
          </cell>
          <cell r="F36"/>
          <cell r="T36">
            <v>33</v>
          </cell>
          <cell r="AD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17</v>
          </cell>
          <cell r="F43">
            <v>17</v>
          </cell>
          <cell r="G43">
            <v>17</v>
          </cell>
          <cell r="H43">
            <v>17</v>
          </cell>
          <cell r="I43">
            <v>16.600000000000001</v>
          </cell>
          <cell r="J43">
            <v>16.333333333333332</v>
          </cell>
          <cell r="K43">
            <v>16.285714285714285</v>
          </cell>
          <cell r="L43">
            <v>16</v>
          </cell>
          <cell r="M43">
            <v>15.888888888888889</v>
          </cell>
          <cell r="N43">
            <v>15.9</v>
          </cell>
          <cell r="O43">
            <v>15.727272727272727</v>
          </cell>
          <cell r="P43">
            <v>15.666666666666666</v>
          </cell>
          <cell r="T43">
            <v>40</v>
          </cell>
          <cell r="U43" t="str">
            <v>Interruptible transporation</v>
          </cell>
          <cell r="V43"/>
          <cell r="W43"/>
          <cell r="X43">
            <v>17</v>
          </cell>
          <cell r="Y43">
            <v>16.5</v>
          </cell>
          <cell r="Z43">
            <v>16.666666666666668</v>
          </cell>
          <cell r="AA43">
            <v>16.5</v>
          </cell>
          <cell r="AB43">
            <v>16.399999999999999</v>
          </cell>
          <cell r="AC43">
            <v>16.666666666666668</v>
          </cell>
          <cell r="AD43">
            <v>16.857142857142858</v>
          </cell>
          <cell r="AE43">
            <v>17</v>
          </cell>
          <cell r="AF43">
            <v>17.111111111111111</v>
          </cell>
          <cell r="AG43">
            <v>17.2</v>
          </cell>
          <cell r="AH43">
            <v>17.272727272727273</v>
          </cell>
          <cell r="AI43">
            <v>17.25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14</v>
          </cell>
          <cell r="F45">
            <v>14</v>
          </cell>
          <cell r="G45">
            <v>14</v>
          </cell>
          <cell r="H45">
            <v>14</v>
          </cell>
          <cell r="I45">
            <v>13.600000000000001</v>
          </cell>
          <cell r="J45">
            <v>13.333333333333332</v>
          </cell>
          <cell r="K45">
            <v>13.285714285714285</v>
          </cell>
          <cell r="L45">
            <v>13</v>
          </cell>
          <cell r="M45">
            <v>12.888888888888889</v>
          </cell>
          <cell r="N45">
            <v>12.9</v>
          </cell>
          <cell r="O45">
            <v>12.727272727272727</v>
          </cell>
          <cell r="P45">
            <v>12.666666666666666</v>
          </cell>
          <cell r="T45">
            <v>42</v>
          </cell>
          <cell r="U45" t="str">
            <v>Total customers</v>
          </cell>
          <cell r="V45"/>
          <cell r="W45"/>
          <cell r="X45">
            <v>14</v>
          </cell>
          <cell r="Y45">
            <v>13.5</v>
          </cell>
          <cell r="Z45">
            <v>13.666666666666668</v>
          </cell>
          <cell r="AA45">
            <v>13.5</v>
          </cell>
          <cell r="AB45">
            <v>13.399999999999999</v>
          </cell>
          <cell r="AC45">
            <v>13.666666666666668</v>
          </cell>
          <cell r="AD45">
            <v>13.857142857142858</v>
          </cell>
          <cell r="AE45">
            <v>14</v>
          </cell>
          <cell r="AF45">
            <v>14.111111111111111</v>
          </cell>
          <cell r="AG45">
            <v>14.2</v>
          </cell>
          <cell r="AH45">
            <v>14.272727272727273</v>
          </cell>
          <cell r="AI45">
            <v>14.25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5683906.7201076737</v>
          </cell>
          <cell r="F51">
            <v>10744021.48465818</v>
          </cell>
          <cell r="G51">
            <v>16098607.905234449</v>
          </cell>
          <cell r="H51">
            <v>20016552.340442333</v>
          </cell>
          <cell r="I51">
            <v>24439785.273154765</v>
          </cell>
          <cell r="J51">
            <v>28900135.230370238</v>
          </cell>
          <cell r="K51">
            <v>33461119.871204268</v>
          </cell>
          <cell r="L51">
            <v>37978562.710741624</v>
          </cell>
          <cell r="M51">
            <v>42079725.341285937</v>
          </cell>
          <cell r="N51">
            <v>46254418.105632655</v>
          </cell>
          <cell r="O51">
            <v>51520254.743679859</v>
          </cell>
          <cell r="P51">
            <v>56925329.472958371</v>
          </cell>
          <cell r="T51">
            <v>48</v>
          </cell>
          <cell r="U51" t="str">
            <v>Transportation firm</v>
          </cell>
          <cell r="W51"/>
          <cell r="X51">
            <v>5122614</v>
          </cell>
          <cell r="Y51">
            <v>9569735</v>
          </cell>
          <cell r="Z51">
            <v>14495727</v>
          </cell>
          <cell r="AA51">
            <v>17318834</v>
          </cell>
          <cell r="AB51">
            <v>21205298</v>
          </cell>
          <cell r="AC51">
            <v>25030341</v>
          </cell>
          <cell r="AD51">
            <v>28934555</v>
          </cell>
          <cell r="AE51">
            <v>32945293</v>
          </cell>
          <cell r="AF51">
            <v>37036473</v>
          </cell>
          <cell r="AG51">
            <v>41122212</v>
          </cell>
          <cell r="AH51">
            <v>45003112</v>
          </cell>
          <cell r="AI51">
            <v>50296416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23466.434880499619</v>
          </cell>
          <cell r="F52">
            <v>72312.797074352959</v>
          </cell>
          <cell r="G52">
            <v>173823.16762025648</v>
          </cell>
          <cell r="H52">
            <v>197905.60086956382</v>
          </cell>
          <cell r="I52">
            <v>221495.36814760318</v>
          </cell>
          <cell r="J52">
            <v>247316.23910388787</v>
          </cell>
          <cell r="K52">
            <v>309792.55598165892</v>
          </cell>
          <cell r="L52">
            <v>345820.67885273311</v>
          </cell>
          <cell r="M52">
            <v>372479.98697631428</v>
          </cell>
          <cell r="N52">
            <v>454853.47435943299</v>
          </cell>
          <cell r="O52">
            <v>569816.12788424722</v>
          </cell>
          <cell r="P52">
            <v>597710.22637323232</v>
          </cell>
          <cell r="T52">
            <v>49</v>
          </cell>
          <cell r="U52" t="str">
            <v>Interruptible transporation</v>
          </cell>
          <cell r="W52"/>
          <cell r="X52">
            <v>142031</v>
          </cell>
          <cell r="Y52">
            <v>208478</v>
          </cell>
          <cell r="Z52">
            <v>233515</v>
          </cell>
          <cell r="AA52">
            <v>259556</v>
          </cell>
          <cell r="AB52">
            <v>332108</v>
          </cell>
          <cell r="AC52">
            <v>413370</v>
          </cell>
          <cell r="AD52">
            <v>504217</v>
          </cell>
          <cell r="AE52">
            <v>641128</v>
          </cell>
          <cell r="AF52">
            <v>1106129</v>
          </cell>
          <cell r="AG52">
            <v>1202694</v>
          </cell>
          <cell r="AH52">
            <v>1252417</v>
          </cell>
          <cell r="AI52">
            <v>1344320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-1984175.4248588751</v>
          </cell>
          <cell r="F53">
            <v>-3590214.7055909904</v>
          </cell>
          <cell r="G53">
            <v>-5125773.1243981402</v>
          </cell>
          <cell r="H53">
            <v>-5959136.4098113496</v>
          </cell>
          <cell r="I53">
            <v>-6639813.74109683</v>
          </cell>
          <cell r="J53">
            <v>-7248512.908603305</v>
          </cell>
          <cell r="K53">
            <v>-7853977.5786745707</v>
          </cell>
          <cell r="L53">
            <v>-8473184.0299417842</v>
          </cell>
          <cell r="M53">
            <v>-9136071.2564163581</v>
          </cell>
          <cell r="N53">
            <v>-9914135.5107177533</v>
          </cell>
          <cell r="O53">
            <v>-11299338.413732423</v>
          </cell>
          <cell r="P53">
            <v>-12980530.216464523</v>
          </cell>
          <cell r="T53">
            <v>50</v>
          </cell>
          <cell r="U53" t="str">
            <v>Less: ESNG to DE, MD &amp; SP</v>
          </cell>
          <cell r="W53"/>
          <cell r="X53">
            <v>-1569792</v>
          </cell>
          <cell r="Y53">
            <v>-2775692</v>
          </cell>
          <cell r="Z53">
            <v>-4167090</v>
          </cell>
          <cell r="AA53">
            <v>-4887552</v>
          </cell>
          <cell r="AB53">
            <v>-5549998</v>
          </cell>
          <cell r="AC53">
            <v>-6104611</v>
          </cell>
          <cell r="AD53">
            <v>-6621478</v>
          </cell>
          <cell r="AE53">
            <v>-7201595</v>
          </cell>
          <cell r="AF53">
            <v>-7814166</v>
          </cell>
          <cell r="AG53">
            <v>-8535444</v>
          </cell>
          <cell r="AH53">
            <v>-9664030</v>
          </cell>
          <cell r="AI53">
            <v>-11373352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3723197.7301292983</v>
          </cell>
          <cell r="F54">
            <v>7226119.5761415428</v>
          </cell>
          <cell r="G54">
            <v>11146657.948456565</v>
          </cell>
          <cell r="H54">
            <v>14255321.531500546</v>
          </cell>
          <cell r="I54">
            <v>18021466.900205538</v>
          </cell>
          <cell r="J54">
            <v>21898938.560870819</v>
          </cell>
          <cell r="K54">
            <v>25916934.848511361</v>
          </cell>
          <cell r="L54">
            <v>29851199.359652571</v>
          </cell>
          <cell r="M54">
            <v>33316134.071845889</v>
          </cell>
          <cell r="N54">
            <v>36795136.069274336</v>
          </cell>
          <cell r="O54">
            <v>40790732.457831681</v>
          </cell>
          <cell r="P54">
            <v>44542509.482867077</v>
          </cell>
          <cell r="T54">
            <v>51</v>
          </cell>
          <cell r="U54" t="str">
            <v>Total Deliveries</v>
          </cell>
          <cell r="V54"/>
          <cell r="W54"/>
          <cell r="X54">
            <v>3694853</v>
          </cell>
          <cell r="Y54">
            <v>7002521</v>
          </cell>
          <cell r="Z54">
            <v>10562152</v>
          </cell>
          <cell r="AA54">
            <v>12690838</v>
          </cell>
          <cell r="AB54">
            <v>15987408</v>
          </cell>
          <cell r="AC54">
            <v>19339100</v>
          </cell>
          <cell r="AD54">
            <v>22817294</v>
          </cell>
          <cell r="AE54">
            <v>26384826</v>
          </cell>
          <cell r="AF54">
            <v>30328436</v>
          </cell>
          <cell r="AG54">
            <v>33789462</v>
          </cell>
          <cell r="AH54">
            <v>36591499</v>
          </cell>
          <cell r="AI54">
            <v>40267384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5937642</v>
          </cell>
          <cell r="F58">
            <v>11215367</v>
          </cell>
          <cell r="G58">
            <v>16796597</v>
          </cell>
          <cell r="H58">
            <v>20873418</v>
          </cell>
          <cell r="I58">
            <v>25469763</v>
          </cell>
          <cell r="J58">
            <v>30103741</v>
          </cell>
          <cell r="K58">
            <v>34846116</v>
          </cell>
          <cell r="L58">
            <v>39567422</v>
          </cell>
          <cell r="M58">
            <v>43825450</v>
          </cell>
          <cell r="N58">
            <v>48166450</v>
          </cell>
          <cell r="O58">
            <v>53637233</v>
          </cell>
          <cell r="P58">
            <v>59230053</v>
          </cell>
          <cell r="T58">
            <v>55</v>
          </cell>
          <cell r="U58" t="str">
            <v>Transportation firm</v>
          </cell>
          <cell r="W58"/>
          <cell r="X58">
            <v>5380127.8057800001</v>
          </cell>
          <cell r="Y58">
            <v>10044757.493890001</v>
          </cell>
          <cell r="Z58">
            <v>15207640.449170001</v>
          </cell>
          <cell r="AA58">
            <v>18160356.291540001</v>
          </cell>
          <cell r="AB58">
            <v>22220001.127379999</v>
          </cell>
          <cell r="AC58">
            <v>26226580.668159999</v>
          </cell>
          <cell r="AD58">
            <v>30319094.90938</v>
          </cell>
          <cell r="AE58">
            <v>34505743.878059998</v>
          </cell>
          <cell r="AF58">
            <v>38789086.60266</v>
          </cell>
          <cell r="AG58">
            <v>43075598.817120001</v>
          </cell>
          <cell r="AH58">
            <v>47148060.04112</v>
          </cell>
          <cell r="AI58">
            <v>52710105.085199997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24514</v>
          </cell>
          <cell r="F59">
            <v>75461</v>
          </cell>
          <cell r="G59">
            <v>181268</v>
          </cell>
          <cell r="H59">
            <v>206327</v>
          </cell>
          <cell r="I59">
            <v>230840</v>
          </cell>
          <cell r="J59">
            <v>257666</v>
          </cell>
          <cell r="K59">
            <v>322627</v>
          </cell>
          <cell r="L59">
            <v>360281</v>
          </cell>
          <cell r="M59">
            <v>387960</v>
          </cell>
          <cell r="N59">
            <v>473615</v>
          </cell>
          <cell r="O59">
            <v>593052</v>
          </cell>
          <cell r="P59">
            <v>621915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-2072751</v>
          </cell>
          <cell r="F60">
            <v>-3747858</v>
          </cell>
          <cell r="G60">
            <v>-5348412</v>
          </cell>
          <cell r="H60">
            <v>-6215569</v>
          </cell>
          <cell r="I60">
            <v>-6922886</v>
          </cell>
          <cell r="J60">
            <v>-7555280</v>
          </cell>
          <cell r="K60">
            <v>-8184824</v>
          </cell>
          <cell r="L60">
            <v>-8831974</v>
          </cell>
          <cell r="M60">
            <v>-9520216</v>
          </cell>
          <cell r="N60">
            <v>-10329276</v>
          </cell>
          <cell r="O60">
            <v>-11768391</v>
          </cell>
          <cell r="P60">
            <v>-13507979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3889405</v>
          </cell>
          <cell r="F61">
            <v>7542970</v>
          </cell>
          <cell r="G61">
            <v>11629453</v>
          </cell>
          <cell r="H61">
            <v>14864176</v>
          </cell>
          <cell r="I61">
            <v>18777717</v>
          </cell>
          <cell r="J61">
            <v>22806127</v>
          </cell>
          <cell r="K61">
            <v>26983919</v>
          </cell>
          <cell r="L61">
            <v>31095729</v>
          </cell>
          <cell r="M61">
            <v>34693194</v>
          </cell>
          <cell r="N61">
            <v>38310789</v>
          </cell>
          <cell r="O61">
            <v>42461894</v>
          </cell>
          <cell r="P61">
            <v>46343989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5297319.8067632858</v>
          </cell>
          <cell r="F66">
            <v>10100791.304347828</v>
          </cell>
          <cell r="G66">
            <v>16148103.381642515</v>
          </cell>
          <cell r="H66">
            <v>20363612.560386475</v>
          </cell>
          <cell r="I66">
            <v>25838916.908212561</v>
          </cell>
          <cell r="J66">
            <v>30535393.236714978</v>
          </cell>
          <cell r="K66">
            <v>35686977.777777776</v>
          </cell>
          <cell r="L66">
            <v>41139636.714975841</v>
          </cell>
          <cell r="M66">
            <v>46165458.937198065</v>
          </cell>
          <cell r="N66">
            <v>51388542.995169081</v>
          </cell>
          <cell r="O66">
            <v>56053243.478260867</v>
          </cell>
          <cell r="P66">
            <v>62190514.009661831</v>
          </cell>
        </row>
        <row r="67">
          <cell r="A67">
            <v>64</v>
          </cell>
          <cell r="B67" t="str">
            <v>Less Sales to DE/MD/SP</v>
          </cell>
          <cell r="D67"/>
          <cell r="E67">
            <v>-1674839.6135265701</v>
          </cell>
          <cell r="F67">
            <v>-2976306.2801932367</v>
          </cell>
          <cell r="G67">
            <v>-4470833.8164251205</v>
          </cell>
          <cell r="H67">
            <v>-5284212.5603864733</v>
          </cell>
          <cell r="I67">
            <v>-5940893.7198067633</v>
          </cell>
          <cell r="J67">
            <v>-6503416.4251207728</v>
          </cell>
          <cell r="K67">
            <v>-7027896.618357488</v>
          </cell>
          <cell r="L67">
            <v>-7758659.9033816429</v>
          </cell>
          <cell r="M67">
            <v>-8509251.20772947</v>
          </cell>
          <cell r="N67">
            <v>-9459017.3913043495</v>
          </cell>
          <cell r="O67">
            <v>-10694888.88888889</v>
          </cell>
          <cell r="P67">
            <v>-12414835.748792272</v>
          </cell>
        </row>
        <row r="68">
          <cell r="A68">
            <v>65</v>
          </cell>
          <cell r="D68"/>
          <cell r="E68">
            <v>3622480.1932367156</v>
          </cell>
          <cell r="F68">
            <v>7124485.0241545914</v>
          </cell>
          <cell r="G68">
            <v>11677269.565217394</v>
          </cell>
          <cell r="H68">
            <v>15079400.000000002</v>
          </cell>
          <cell r="I68">
            <v>19898023.188405797</v>
          </cell>
          <cell r="J68">
            <v>24031976.811594203</v>
          </cell>
          <cell r="K68">
            <v>28659081.159420289</v>
          </cell>
          <cell r="L68">
            <v>33380976.811594199</v>
          </cell>
          <cell r="M68">
            <v>37656207.729468599</v>
          </cell>
          <cell r="N68">
            <v>41929525.603864729</v>
          </cell>
          <cell r="O68">
            <v>45358354.589371979</v>
          </cell>
          <cell r="P68">
            <v>49775678.260869563</v>
          </cell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A70">
            <v>67</v>
          </cell>
          <cell r="B70" t="str">
            <v>Volume (Dts) *1.035</v>
          </cell>
          <cell r="D70"/>
          <cell r="E70">
            <v>5482726</v>
          </cell>
          <cell r="F70">
            <v>10454319</v>
          </cell>
          <cell r="G70">
            <v>16713287</v>
          </cell>
          <cell r="H70">
            <v>21076339</v>
          </cell>
          <cell r="I70">
            <v>26743279</v>
          </cell>
          <cell r="J70">
            <v>31604132</v>
          </cell>
          <cell r="K70">
            <v>36936022</v>
          </cell>
          <cell r="L70">
            <v>42579524</v>
          </cell>
          <cell r="M70">
            <v>47781250</v>
          </cell>
          <cell r="N70">
            <v>53187142</v>
          </cell>
          <cell r="O70">
            <v>58015107</v>
          </cell>
          <cell r="P70">
            <v>64367182</v>
          </cell>
        </row>
        <row r="71">
          <cell r="A71">
            <v>68</v>
          </cell>
          <cell r="B71" t="str">
            <v>Less Sales to DE/MD/SP</v>
          </cell>
          <cell r="D71"/>
          <cell r="E71">
            <v>-1733459</v>
          </cell>
          <cell r="F71">
            <v>-3080477</v>
          </cell>
          <cell r="G71">
            <v>-4627313</v>
          </cell>
          <cell r="H71">
            <v>-5469160</v>
          </cell>
          <cell r="I71">
            <v>-6148825</v>
          </cell>
          <cell r="J71">
            <v>-6731036</v>
          </cell>
          <cell r="K71">
            <v>-7273873</v>
          </cell>
          <cell r="L71">
            <v>-8030213</v>
          </cell>
          <cell r="M71">
            <v>-8807075</v>
          </cell>
          <cell r="N71">
            <v>-9790083</v>
          </cell>
          <cell r="O71">
            <v>-11069210</v>
          </cell>
          <cell r="P71">
            <v>-12849355</v>
          </cell>
        </row>
        <row r="72">
          <cell r="D72"/>
          <cell r="E72">
            <v>3749267</v>
          </cell>
          <cell r="F72">
            <v>7373842</v>
          </cell>
          <cell r="G72">
            <v>12085974</v>
          </cell>
          <cell r="H72">
            <v>15607179</v>
          </cell>
          <cell r="I72">
            <v>20594454</v>
          </cell>
          <cell r="J72">
            <v>24873096</v>
          </cell>
          <cell r="K72">
            <v>29662149</v>
          </cell>
          <cell r="L72">
            <v>34549311</v>
          </cell>
          <cell r="M72">
            <v>38974175</v>
          </cell>
          <cell r="N72">
            <v>43397059</v>
          </cell>
          <cell r="O72">
            <v>46945897</v>
          </cell>
          <cell r="P72">
            <v>51517827</v>
          </cell>
        </row>
      </sheetData>
      <sheetData sheetId="17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24573</v>
          </cell>
          <cell r="D5">
            <v>294876</v>
          </cell>
          <cell r="E5">
            <v>24530</v>
          </cell>
          <cell r="F5">
            <v>24291</v>
          </cell>
          <cell r="G5">
            <v>24316</v>
          </cell>
          <cell r="H5">
            <v>24504</v>
          </cell>
          <cell r="I5">
            <v>24515</v>
          </cell>
          <cell r="J5">
            <v>24571</v>
          </cell>
          <cell r="K5">
            <v>24575</v>
          </cell>
          <cell r="L5">
            <v>24590</v>
          </cell>
          <cell r="M5">
            <v>24706</v>
          </cell>
          <cell r="N5">
            <v>24726</v>
          </cell>
          <cell r="O5">
            <v>24801</v>
          </cell>
          <cell r="P5">
            <v>24751</v>
          </cell>
          <cell r="T5">
            <v>2</v>
          </cell>
          <cell r="U5" t="str">
            <v>Residential</v>
          </cell>
          <cell r="V5"/>
          <cell r="W5">
            <v>296226</v>
          </cell>
          <cell r="X5">
            <v>24564</v>
          </cell>
          <cell r="Y5">
            <v>24619</v>
          </cell>
          <cell r="Z5">
            <v>24749</v>
          </cell>
          <cell r="AA5">
            <v>24669</v>
          </cell>
          <cell r="AB5">
            <v>24650</v>
          </cell>
          <cell r="AC5">
            <v>24823</v>
          </cell>
          <cell r="AD5">
            <v>24833</v>
          </cell>
          <cell r="AE5">
            <v>24799</v>
          </cell>
          <cell r="AF5">
            <v>24801</v>
          </cell>
          <cell r="AG5">
            <v>24561</v>
          </cell>
          <cell r="AH5">
            <v>24587</v>
          </cell>
          <cell r="AI5">
            <v>24571</v>
          </cell>
        </row>
        <row r="6">
          <cell r="A6">
            <v>3</v>
          </cell>
          <cell r="B6" t="str">
            <v>Commercial</v>
          </cell>
          <cell r="C6">
            <v>7243</v>
          </cell>
          <cell r="D6">
            <v>86912</v>
          </cell>
          <cell r="E6">
            <v>7353</v>
          </cell>
          <cell r="F6">
            <v>7174</v>
          </cell>
          <cell r="G6">
            <v>7168</v>
          </cell>
          <cell r="H6">
            <v>7213</v>
          </cell>
          <cell r="I6">
            <v>7224</v>
          </cell>
          <cell r="J6">
            <v>7248</v>
          </cell>
          <cell r="K6">
            <v>7238</v>
          </cell>
          <cell r="L6">
            <v>7233</v>
          </cell>
          <cell r="M6">
            <v>7249</v>
          </cell>
          <cell r="N6">
            <v>7254</v>
          </cell>
          <cell r="O6">
            <v>7285</v>
          </cell>
          <cell r="P6">
            <v>7273</v>
          </cell>
          <cell r="T6">
            <v>3</v>
          </cell>
          <cell r="U6" t="str">
            <v>Commercial</v>
          </cell>
          <cell r="V6"/>
          <cell r="W6">
            <v>89967</v>
          </cell>
          <cell r="X6">
            <v>7472</v>
          </cell>
          <cell r="Y6">
            <v>7477</v>
          </cell>
          <cell r="Z6">
            <v>7495</v>
          </cell>
          <cell r="AA6">
            <v>7494</v>
          </cell>
          <cell r="AB6">
            <v>7478</v>
          </cell>
          <cell r="AC6">
            <v>7506</v>
          </cell>
          <cell r="AD6">
            <v>7507</v>
          </cell>
          <cell r="AE6">
            <v>7511</v>
          </cell>
          <cell r="AF6">
            <v>7504</v>
          </cell>
          <cell r="AG6">
            <v>7502</v>
          </cell>
          <cell r="AH6">
            <v>7507</v>
          </cell>
          <cell r="AI6">
            <v>7514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V7"/>
          <cell r="W7">
            <v>24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V8"/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31818</v>
          </cell>
          <cell r="D9">
            <v>381812</v>
          </cell>
          <cell r="E9">
            <v>31885</v>
          </cell>
          <cell r="F9">
            <v>31467</v>
          </cell>
          <cell r="G9">
            <v>31486</v>
          </cell>
          <cell r="H9">
            <v>31719</v>
          </cell>
          <cell r="I9">
            <v>31741</v>
          </cell>
          <cell r="J9">
            <v>31821</v>
          </cell>
          <cell r="K9">
            <v>31815</v>
          </cell>
          <cell r="L9">
            <v>31825</v>
          </cell>
          <cell r="M9">
            <v>31957</v>
          </cell>
          <cell r="N9">
            <v>31982</v>
          </cell>
          <cell r="O9">
            <v>32088</v>
          </cell>
          <cell r="P9">
            <v>32026</v>
          </cell>
          <cell r="T9">
            <v>6</v>
          </cell>
          <cell r="U9" t="str">
            <v>Total customers</v>
          </cell>
          <cell r="V9"/>
          <cell r="W9">
            <v>386217</v>
          </cell>
          <cell r="X9">
            <v>32038</v>
          </cell>
          <cell r="Y9">
            <v>32098</v>
          </cell>
          <cell r="Z9">
            <v>32246</v>
          </cell>
          <cell r="AA9">
            <v>32165</v>
          </cell>
          <cell r="AB9">
            <v>32130</v>
          </cell>
          <cell r="AC9">
            <v>32331</v>
          </cell>
          <cell r="AD9">
            <v>32342</v>
          </cell>
          <cell r="AE9">
            <v>32312</v>
          </cell>
          <cell r="AF9">
            <v>32307</v>
          </cell>
          <cell r="AG9">
            <v>32065</v>
          </cell>
          <cell r="AH9">
            <v>32096</v>
          </cell>
          <cell r="AI9">
            <v>32087</v>
          </cell>
        </row>
        <row r="10">
          <cell r="A10">
            <v>7</v>
          </cell>
          <cell r="G10"/>
          <cell r="T10">
            <v>7</v>
          </cell>
          <cell r="Z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306445.42599999998</v>
          </cell>
          <cell r="E12">
            <v>24079</v>
          </cell>
          <cell r="F12">
            <v>23688</v>
          </cell>
          <cell r="G12">
            <v>17744</v>
          </cell>
          <cell r="H12">
            <v>18080</v>
          </cell>
          <cell r="I12">
            <v>22585</v>
          </cell>
          <cell r="J12">
            <v>31693.062000000002</v>
          </cell>
          <cell r="K12">
            <v>32053.364000000001</v>
          </cell>
          <cell r="L12">
            <v>32423</v>
          </cell>
          <cell r="M12">
            <v>33061</v>
          </cell>
          <cell r="N12">
            <v>27851</v>
          </cell>
          <cell r="O12">
            <v>21369</v>
          </cell>
          <cell r="P12">
            <v>21819</v>
          </cell>
          <cell r="T12">
            <v>9</v>
          </cell>
          <cell r="U12" t="str">
            <v>Residential</v>
          </cell>
          <cell r="W12">
            <v>307269.28200000001</v>
          </cell>
          <cell r="X12">
            <v>35752.544000000002</v>
          </cell>
          <cell r="Y12">
            <v>24919.059000000001</v>
          </cell>
          <cell r="Z12">
            <v>17856.425999999999</v>
          </cell>
          <cell r="AA12">
            <v>19184.017</v>
          </cell>
          <cell r="AB12">
            <v>19354.330000000002</v>
          </cell>
          <cell r="AC12">
            <v>28144</v>
          </cell>
          <cell r="AD12">
            <v>32734.905999999999</v>
          </cell>
          <cell r="AE12">
            <v>31043</v>
          </cell>
          <cell r="AF12">
            <v>32437</v>
          </cell>
          <cell r="AG12">
            <v>26450</v>
          </cell>
          <cell r="AH12">
            <v>2836</v>
          </cell>
          <cell r="AI12">
            <v>36558</v>
          </cell>
        </row>
        <row r="13">
          <cell r="A13">
            <v>10</v>
          </cell>
          <cell r="B13" t="str">
            <v>Commercial</v>
          </cell>
          <cell r="D13">
            <v>310856.15399999998</v>
          </cell>
          <cell r="E13">
            <v>23237</v>
          </cell>
          <cell r="F13">
            <v>20995</v>
          </cell>
          <cell r="G13">
            <v>17597</v>
          </cell>
          <cell r="H13">
            <v>24172</v>
          </cell>
          <cell r="I13">
            <v>25571</v>
          </cell>
          <cell r="J13">
            <v>29797.349000000002</v>
          </cell>
          <cell r="K13">
            <v>29177.805</v>
          </cell>
          <cell r="L13">
            <v>31173</v>
          </cell>
          <cell r="M13">
            <v>32220</v>
          </cell>
          <cell r="N13">
            <v>27781</v>
          </cell>
          <cell r="O13">
            <v>26737</v>
          </cell>
          <cell r="P13">
            <v>22398</v>
          </cell>
          <cell r="T13">
            <v>10</v>
          </cell>
          <cell r="U13" t="str">
            <v>Commercial</v>
          </cell>
          <cell r="W13">
            <v>302686.51299999998</v>
          </cell>
          <cell r="X13">
            <v>24990.721000000001</v>
          </cell>
          <cell r="Y13">
            <v>21976.830999999998</v>
          </cell>
          <cell r="Z13">
            <v>20563</v>
          </cell>
          <cell r="AA13">
            <v>22046.71</v>
          </cell>
          <cell r="AB13">
            <v>22675.084999999999</v>
          </cell>
          <cell r="AC13">
            <v>28554</v>
          </cell>
          <cell r="AD13">
            <v>30136.166000000001</v>
          </cell>
          <cell r="AE13">
            <v>30037</v>
          </cell>
          <cell r="AF13">
            <v>32243</v>
          </cell>
          <cell r="AG13">
            <v>27866</v>
          </cell>
          <cell r="AH13">
            <v>-2191</v>
          </cell>
          <cell r="AI13">
            <v>43789</v>
          </cell>
        </row>
        <row r="14">
          <cell r="A14">
            <v>11</v>
          </cell>
          <cell r="B14" t="str">
            <v xml:space="preserve">Industrial </v>
          </cell>
          <cell r="D14">
            <v>27928.576000000001</v>
          </cell>
          <cell r="E14">
            <v>2100</v>
          </cell>
          <cell r="F14">
            <v>3750</v>
          </cell>
          <cell r="G14">
            <v>1900</v>
          </cell>
          <cell r="H14">
            <v>1210</v>
          </cell>
          <cell r="I14">
            <v>490</v>
          </cell>
          <cell r="J14">
            <v>1472.576</v>
          </cell>
          <cell r="K14">
            <v>1840</v>
          </cell>
          <cell r="L14">
            <v>2920</v>
          </cell>
          <cell r="M14">
            <v>2700</v>
          </cell>
          <cell r="N14">
            <v>3765</v>
          </cell>
          <cell r="O14">
            <v>5112</v>
          </cell>
          <cell r="P14">
            <v>669</v>
          </cell>
          <cell r="T14">
            <v>11</v>
          </cell>
          <cell r="U14" t="str">
            <v xml:space="preserve">Industrial </v>
          </cell>
          <cell r="W14">
            <v>15160</v>
          </cell>
          <cell r="X14">
            <v>1370</v>
          </cell>
          <cell r="Y14">
            <v>1500</v>
          </cell>
          <cell r="Z14">
            <v>1650</v>
          </cell>
          <cell r="AA14">
            <v>1090</v>
          </cell>
          <cell r="AB14">
            <v>800</v>
          </cell>
          <cell r="AC14">
            <v>2220</v>
          </cell>
          <cell r="AD14">
            <v>1280</v>
          </cell>
          <cell r="AE14">
            <v>950</v>
          </cell>
          <cell r="AF14">
            <v>950</v>
          </cell>
          <cell r="AG14">
            <v>920</v>
          </cell>
          <cell r="AH14">
            <v>1240</v>
          </cell>
          <cell r="AI14">
            <v>1190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>Other</v>
          </cell>
          <cell r="W15">
            <v>7402.0550000000003</v>
          </cell>
          <cell r="X15">
            <v>624.00400000000002</v>
          </cell>
          <cell r="Y15">
            <v>633</v>
          </cell>
          <cell r="Z15">
            <v>638.86199999999997</v>
          </cell>
          <cell r="AA15">
            <v>634.72799999999995</v>
          </cell>
          <cell r="AB15">
            <v>635.46400000000006</v>
          </cell>
          <cell r="AC15">
            <v>637</v>
          </cell>
          <cell r="AD15">
            <v>639.99699999999996</v>
          </cell>
          <cell r="AE15">
            <v>636</v>
          </cell>
          <cell r="AF15">
            <v>637</v>
          </cell>
          <cell r="AG15">
            <v>630</v>
          </cell>
          <cell r="AH15">
            <v>-254</v>
          </cell>
          <cell r="AI15">
            <v>1310</v>
          </cell>
        </row>
        <row r="16">
          <cell r="A16">
            <v>13</v>
          </cell>
          <cell r="B16" t="str">
            <v>Total Deliveries</v>
          </cell>
          <cell r="C16"/>
          <cell r="D16">
            <v>645230.15599999996</v>
          </cell>
          <cell r="E16">
            <v>49416</v>
          </cell>
          <cell r="F16">
            <v>48433</v>
          </cell>
          <cell r="G16">
            <v>37241</v>
          </cell>
          <cell r="H16">
            <v>43462</v>
          </cell>
          <cell r="I16">
            <v>48646</v>
          </cell>
          <cell r="J16">
            <v>62962.987000000008</v>
          </cell>
          <cell r="K16">
            <v>63071.169000000002</v>
          </cell>
          <cell r="L16">
            <v>66516</v>
          </cell>
          <cell r="M16">
            <v>67981</v>
          </cell>
          <cell r="N16">
            <v>59397</v>
          </cell>
          <cell r="O16">
            <v>53218</v>
          </cell>
          <cell r="P16">
            <v>44886</v>
          </cell>
          <cell r="T16">
            <v>13</v>
          </cell>
          <cell r="U16" t="str">
            <v>Total Deliveries</v>
          </cell>
          <cell r="V16"/>
          <cell r="W16">
            <v>625115.79499999993</v>
          </cell>
          <cell r="X16">
            <v>62737.269</v>
          </cell>
          <cell r="Y16">
            <v>49028.89</v>
          </cell>
          <cell r="Z16">
            <v>40708.288</v>
          </cell>
          <cell r="AA16">
            <v>42955.455000000002</v>
          </cell>
          <cell r="AB16">
            <v>43464.879000000001</v>
          </cell>
          <cell r="AC16">
            <v>59555</v>
          </cell>
          <cell r="AD16">
            <v>64791.069000000003</v>
          </cell>
          <cell r="AE16">
            <v>62666</v>
          </cell>
          <cell r="AF16">
            <v>66267</v>
          </cell>
          <cell r="AG16">
            <v>55866</v>
          </cell>
          <cell r="AH16">
            <v>1631</v>
          </cell>
          <cell r="AI16">
            <v>82847</v>
          </cell>
        </row>
        <row r="17">
          <cell r="A17">
            <v>14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  <cell r="W17"/>
        </row>
        <row r="18">
          <cell r="A18">
            <v>15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31875</v>
          </cell>
          <cell r="F20">
            <v>31888</v>
          </cell>
          <cell r="G20">
            <v>31911</v>
          </cell>
          <cell r="H20">
            <v>31980</v>
          </cell>
          <cell r="I20">
            <v>32036</v>
          </cell>
          <cell r="J20">
            <v>32069</v>
          </cell>
          <cell r="K20">
            <v>32100</v>
          </cell>
          <cell r="L20">
            <v>32121</v>
          </cell>
          <cell r="M20">
            <v>32103</v>
          </cell>
          <cell r="N20">
            <v>32053</v>
          </cell>
          <cell r="O20">
            <v>32135</v>
          </cell>
          <cell r="P20">
            <v>32112</v>
          </cell>
          <cell r="T20">
            <v>17</v>
          </cell>
          <cell r="X20">
            <v>31729</v>
          </cell>
          <cell r="Y20">
            <v>31788</v>
          </cell>
          <cell r="Z20">
            <v>31831</v>
          </cell>
          <cell r="AA20">
            <v>31858</v>
          </cell>
          <cell r="AB20">
            <v>31891</v>
          </cell>
          <cell r="AC20">
            <v>31923</v>
          </cell>
          <cell r="AD20">
            <v>31936</v>
          </cell>
          <cell r="AE20">
            <v>31928</v>
          </cell>
          <cell r="AF20">
            <v>31920</v>
          </cell>
          <cell r="AG20">
            <v>31880</v>
          </cell>
          <cell r="AH20">
            <v>31926</v>
          </cell>
          <cell r="AI20">
            <v>31911</v>
          </cell>
        </row>
        <row r="21">
          <cell r="A21">
            <v>18</v>
          </cell>
          <cell r="B21" t="str">
            <v>Volume (KWH)</v>
          </cell>
          <cell r="C21"/>
          <cell r="D21"/>
          <cell r="E21">
            <v>51464.739000000001</v>
          </cell>
          <cell r="F21">
            <v>46444.86</v>
          </cell>
          <cell r="G21">
            <v>44019.144999999997</v>
          </cell>
          <cell r="H21">
            <v>44604.292000000001</v>
          </cell>
          <cell r="I21">
            <v>46365.64</v>
          </cell>
          <cell r="J21">
            <v>60603.445</v>
          </cell>
          <cell r="K21">
            <v>68325.709000000003</v>
          </cell>
          <cell r="L21">
            <v>68307.967999999993</v>
          </cell>
          <cell r="M21">
            <v>66645.614000000001</v>
          </cell>
          <cell r="N21">
            <v>55539.233999999997</v>
          </cell>
          <cell r="O21">
            <v>46376.476000000002</v>
          </cell>
          <cell r="P21">
            <v>46163.798999999999</v>
          </cell>
          <cell r="T21">
            <v>18</v>
          </cell>
          <cell r="X21">
            <v>56588.516000000003</v>
          </cell>
          <cell r="Y21">
            <v>50968.468000000001</v>
          </cell>
          <cell r="Z21">
            <v>45312.502999999997</v>
          </cell>
          <cell r="AA21">
            <v>42099.792000000001</v>
          </cell>
          <cell r="AB21">
            <v>44527.938000000002</v>
          </cell>
          <cell r="AC21">
            <v>53558.296000000002</v>
          </cell>
          <cell r="AD21">
            <v>65700.703999999998</v>
          </cell>
          <cell r="AE21">
            <v>64415.542000000001</v>
          </cell>
          <cell r="AF21">
            <v>60348.042000000001</v>
          </cell>
          <cell r="AG21">
            <v>47823.288999999997</v>
          </cell>
          <cell r="AH21">
            <v>43869.203000000001</v>
          </cell>
          <cell r="AI21">
            <v>45951.063999999998</v>
          </cell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 t="str">
            <v>Total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24479</v>
          </cell>
          <cell r="D27">
            <v>293748</v>
          </cell>
          <cell r="E27">
            <v>24530</v>
          </cell>
          <cell r="F27">
            <v>24411</v>
          </cell>
          <cell r="G27">
            <v>24379</v>
          </cell>
          <cell r="H27">
            <v>24410</v>
          </cell>
          <cell r="I27">
            <v>24431</v>
          </cell>
          <cell r="J27">
            <v>24455</v>
          </cell>
          <cell r="K27">
            <v>24472</v>
          </cell>
          <cell r="L27">
            <v>24487</v>
          </cell>
          <cell r="M27">
            <v>24511</v>
          </cell>
          <cell r="N27">
            <v>24532</v>
          </cell>
          <cell r="O27">
            <v>24557</v>
          </cell>
          <cell r="P27">
            <v>24573</v>
          </cell>
          <cell r="T27">
            <v>24</v>
          </cell>
          <cell r="U27" t="str">
            <v>Residential</v>
          </cell>
          <cell r="V27"/>
          <cell r="W27">
            <v>296005</v>
          </cell>
          <cell r="X27">
            <v>24564</v>
          </cell>
          <cell r="Y27">
            <v>24592</v>
          </cell>
          <cell r="Z27">
            <v>24644</v>
          </cell>
          <cell r="AA27">
            <v>24650</v>
          </cell>
          <cell r="AB27">
            <v>24650</v>
          </cell>
          <cell r="AC27">
            <v>24679</v>
          </cell>
          <cell r="AD27">
            <v>24701</v>
          </cell>
          <cell r="AE27">
            <v>24713</v>
          </cell>
          <cell r="AF27">
            <v>24723</v>
          </cell>
          <cell r="AG27">
            <v>24707</v>
          </cell>
          <cell r="AH27">
            <v>24696</v>
          </cell>
          <cell r="AI27">
            <v>24686</v>
          </cell>
        </row>
        <row r="28">
          <cell r="A28">
            <v>25</v>
          </cell>
          <cell r="B28" t="str">
            <v>Commercial</v>
          </cell>
          <cell r="C28">
            <v>7245</v>
          </cell>
          <cell r="D28">
            <v>86945</v>
          </cell>
          <cell r="E28">
            <v>7353</v>
          </cell>
          <cell r="F28">
            <v>7264</v>
          </cell>
          <cell r="G28">
            <v>7232</v>
          </cell>
          <cell r="H28">
            <v>7227</v>
          </cell>
          <cell r="I28">
            <v>7226</v>
          </cell>
          <cell r="J28">
            <v>7230</v>
          </cell>
          <cell r="K28">
            <v>7231</v>
          </cell>
          <cell r="L28">
            <v>7231</v>
          </cell>
          <cell r="M28">
            <v>7233</v>
          </cell>
          <cell r="N28">
            <v>7235</v>
          </cell>
          <cell r="O28">
            <v>7240</v>
          </cell>
          <cell r="P28">
            <v>7243</v>
          </cell>
          <cell r="T28">
            <v>25</v>
          </cell>
          <cell r="U28" t="str">
            <v>Commercial</v>
          </cell>
          <cell r="V28"/>
          <cell r="W28">
            <v>89848</v>
          </cell>
          <cell r="X28">
            <v>7472</v>
          </cell>
          <cell r="Y28">
            <v>7475</v>
          </cell>
          <cell r="Z28">
            <v>7481</v>
          </cell>
          <cell r="AA28">
            <v>7485</v>
          </cell>
          <cell r="AB28">
            <v>7483</v>
          </cell>
          <cell r="AC28">
            <v>7487</v>
          </cell>
          <cell r="AD28">
            <v>7490</v>
          </cell>
          <cell r="AE28">
            <v>7493</v>
          </cell>
          <cell r="AF28">
            <v>7494</v>
          </cell>
          <cell r="AG28">
            <v>7495</v>
          </cell>
          <cell r="AH28">
            <v>7496</v>
          </cell>
          <cell r="AI28">
            <v>7497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>
            <v>24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V30"/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28</v>
          </cell>
          <cell r="B31" t="str">
            <v>Total customers</v>
          </cell>
          <cell r="C31">
            <v>31726</v>
          </cell>
          <cell r="D31">
            <v>380717</v>
          </cell>
          <cell r="E31">
            <v>31885</v>
          </cell>
          <cell r="F31">
            <v>31677</v>
          </cell>
          <cell r="G31">
            <v>31613</v>
          </cell>
          <cell r="H31">
            <v>31639</v>
          </cell>
          <cell r="I31">
            <v>31659</v>
          </cell>
          <cell r="J31">
            <v>31687</v>
          </cell>
          <cell r="K31">
            <v>31705</v>
          </cell>
          <cell r="L31">
            <v>31720</v>
          </cell>
          <cell r="M31">
            <v>31746</v>
          </cell>
          <cell r="N31">
            <v>31769</v>
          </cell>
          <cell r="O31">
            <v>31799</v>
          </cell>
          <cell r="P31">
            <v>31818</v>
          </cell>
          <cell r="T31">
            <v>28</v>
          </cell>
          <cell r="U31" t="str">
            <v>Total customers</v>
          </cell>
          <cell r="V31"/>
          <cell r="W31">
            <v>385877</v>
          </cell>
          <cell r="X31">
            <v>32038</v>
          </cell>
          <cell r="Y31">
            <v>32069</v>
          </cell>
          <cell r="Z31">
            <v>32127</v>
          </cell>
          <cell r="AA31">
            <v>32137</v>
          </cell>
          <cell r="AB31">
            <v>32135</v>
          </cell>
          <cell r="AC31">
            <v>32168</v>
          </cell>
          <cell r="AD31">
            <v>32193</v>
          </cell>
          <cell r="AE31">
            <v>32208</v>
          </cell>
          <cell r="AF31">
            <v>32219</v>
          </cell>
          <cell r="AG31">
            <v>32204</v>
          </cell>
          <cell r="AH31">
            <v>32194</v>
          </cell>
          <cell r="AI31">
            <v>32185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W34" t="str">
            <v>Total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24079</v>
          </cell>
          <cell r="F35">
            <v>47767</v>
          </cell>
          <cell r="G35">
            <v>65511</v>
          </cell>
          <cell r="H35">
            <v>83591</v>
          </cell>
          <cell r="I35">
            <v>106176</v>
          </cell>
          <cell r="J35">
            <v>137869.06200000001</v>
          </cell>
          <cell r="K35">
            <v>169922.42600000001</v>
          </cell>
          <cell r="L35">
            <v>202345.42600000001</v>
          </cell>
          <cell r="M35">
            <v>235406.42600000001</v>
          </cell>
          <cell r="N35">
            <v>263257.42599999998</v>
          </cell>
          <cell r="O35">
            <v>284626.42599999998</v>
          </cell>
          <cell r="P35">
            <v>306445.42599999998</v>
          </cell>
          <cell r="T35">
            <v>32</v>
          </cell>
          <cell r="U35" t="str">
            <v>Residential</v>
          </cell>
          <cell r="W35">
            <v>2009155.6660000002</v>
          </cell>
          <cell r="X35">
            <v>35752.544000000002</v>
          </cell>
          <cell r="Y35">
            <v>60671.603000000003</v>
          </cell>
          <cell r="Z35">
            <v>78528.02900000001</v>
          </cell>
          <cell r="AA35">
            <v>97712.046000000002</v>
          </cell>
          <cell r="AB35">
            <v>117066.376</v>
          </cell>
          <cell r="AC35">
            <v>145210.37599999999</v>
          </cell>
          <cell r="AD35">
            <v>177945.28199999998</v>
          </cell>
          <cell r="AE35">
            <v>208988.28199999998</v>
          </cell>
          <cell r="AF35">
            <v>241425.28199999998</v>
          </cell>
          <cell r="AG35">
            <v>267875.28200000001</v>
          </cell>
          <cell r="AH35">
            <v>270711.28200000001</v>
          </cell>
          <cell r="AI35">
            <v>307269.28200000001</v>
          </cell>
        </row>
        <row r="36">
          <cell r="A36">
            <v>33</v>
          </cell>
          <cell r="B36" t="str">
            <v>Commercial</v>
          </cell>
          <cell r="D36"/>
          <cell r="E36">
            <v>23237</v>
          </cell>
          <cell r="F36">
            <v>44232</v>
          </cell>
          <cell r="G36">
            <v>61829</v>
          </cell>
          <cell r="H36">
            <v>86001</v>
          </cell>
          <cell r="I36">
            <v>111572</v>
          </cell>
          <cell r="J36">
            <v>141369.34899999999</v>
          </cell>
          <cell r="K36">
            <v>170547.15399999998</v>
          </cell>
          <cell r="L36">
            <v>201720.15399999998</v>
          </cell>
          <cell r="M36">
            <v>233940.15399999998</v>
          </cell>
          <cell r="N36">
            <v>261721.15399999998</v>
          </cell>
          <cell r="O36">
            <v>288458.15399999998</v>
          </cell>
          <cell r="P36">
            <v>310856.15399999998</v>
          </cell>
          <cell r="T36">
            <v>33</v>
          </cell>
          <cell r="U36" t="str">
            <v>Commercial</v>
          </cell>
          <cell r="W36">
            <v>1909941.8590000002</v>
          </cell>
          <cell r="X36">
            <v>24990.721000000001</v>
          </cell>
          <cell r="Y36">
            <v>46967.551999999996</v>
          </cell>
          <cell r="Z36">
            <v>67530.551999999996</v>
          </cell>
          <cell r="AA36">
            <v>89577.261999999988</v>
          </cell>
          <cell r="AB36">
            <v>112252.34699999998</v>
          </cell>
          <cell r="AC36">
            <v>140806.34699999998</v>
          </cell>
          <cell r="AD36">
            <v>170942.51299999998</v>
          </cell>
          <cell r="AE36">
            <v>200979.51299999998</v>
          </cell>
          <cell r="AF36">
            <v>233222.51299999998</v>
          </cell>
          <cell r="AG36">
            <v>261088.51299999998</v>
          </cell>
          <cell r="AH36">
            <v>258897.51299999998</v>
          </cell>
          <cell r="AI36">
            <v>302686.51299999998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2100</v>
          </cell>
          <cell r="F37">
            <v>5850</v>
          </cell>
          <cell r="G37">
            <v>7750</v>
          </cell>
          <cell r="H37">
            <v>8960</v>
          </cell>
          <cell r="I37">
            <v>9450</v>
          </cell>
          <cell r="J37">
            <v>10922.576000000001</v>
          </cell>
          <cell r="K37">
            <v>12762.576000000001</v>
          </cell>
          <cell r="L37">
            <v>15682.576000000001</v>
          </cell>
          <cell r="M37">
            <v>18382.576000000001</v>
          </cell>
          <cell r="N37">
            <v>22147.576000000001</v>
          </cell>
          <cell r="O37">
            <v>27259.576000000001</v>
          </cell>
          <cell r="P37">
            <v>27928.576000000001</v>
          </cell>
          <cell r="T37">
            <v>34</v>
          </cell>
          <cell r="U37" t="str">
            <v xml:space="preserve">Industrial </v>
          </cell>
          <cell r="W37">
            <v>103850</v>
          </cell>
          <cell r="X37">
            <v>1370</v>
          </cell>
          <cell r="Y37">
            <v>2870</v>
          </cell>
          <cell r="Z37">
            <v>4520</v>
          </cell>
          <cell r="AA37">
            <v>5610</v>
          </cell>
          <cell r="AB37">
            <v>6410</v>
          </cell>
          <cell r="AC37">
            <v>8630</v>
          </cell>
          <cell r="AD37">
            <v>9910</v>
          </cell>
          <cell r="AE37">
            <v>10860</v>
          </cell>
          <cell r="AF37">
            <v>11810</v>
          </cell>
          <cell r="AG37">
            <v>12730</v>
          </cell>
          <cell r="AH37">
            <v>13970</v>
          </cell>
          <cell r="AI37">
            <v>15160</v>
          </cell>
        </row>
        <row r="38">
          <cell r="A38">
            <v>35</v>
          </cell>
          <cell r="B38" t="str">
            <v>Other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35</v>
          </cell>
          <cell r="U38" t="str">
            <v>Other</v>
          </cell>
          <cell r="W38">
            <v>48354.914000000004</v>
          </cell>
          <cell r="X38">
            <v>624.00400000000002</v>
          </cell>
          <cell r="Y38">
            <v>1257.0039999999999</v>
          </cell>
          <cell r="Z38">
            <v>1895.866</v>
          </cell>
          <cell r="AA38">
            <v>2530.5940000000001</v>
          </cell>
          <cell r="AB38">
            <v>3166.058</v>
          </cell>
          <cell r="AC38">
            <v>3803.058</v>
          </cell>
          <cell r="AD38">
            <v>4443.0550000000003</v>
          </cell>
          <cell r="AE38">
            <v>5079.0550000000003</v>
          </cell>
          <cell r="AF38">
            <v>5716.0550000000003</v>
          </cell>
          <cell r="AG38">
            <v>6346.0550000000003</v>
          </cell>
          <cell r="AH38">
            <v>6092.0550000000003</v>
          </cell>
          <cell r="AI38">
            <v>7402.0550000000003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49416</v>
          </cell>
          <cell r="F39">
            <v>97849</v>
          </cell>
          <cell r="G39">
            <v>135090</v>
          </cell>
          <cell r="H39">
            <v>178552</v>
          </cell>
          <cell r="I39">
            <v>227198</v>
          </cell>
          <cell r="J39">
            <v>290160.98699999996</v>
          </cell>
          <cell r="K39">
            <v>353232.15599999996</v>
          </cell>
          <cell r="L39">
            <v>419748.15599999996</v>
          </cell>
          <cell r="M39">
            <v>487729.15599999996</v>
          </cell>
          <cell r="N39">
            <v>547126.15599999996</v>
          </cell>
          <cell r="O39">
            <v>600344.15599999996</v>
          </cell>
          <cell r="P39">
            <v>645230.15599999996</v>
          </cell>
          <cell r="T39">
            <v>36</v>
          </cell>
          <cell r="U39" t="str">
            <v>Total Deliveries</v>
          </cell>
          <cell r="V39"/>
          <cell r="W39">
            <v>4022947.5250000004</v>
          </cell>
          <cell r="X39">
            <v>62737.269</v>
          </cell>
          <cell r="Y39">
            <v>111766.159</v>
          </cell>
          <cell r="Z39">
            <v>152474.44700000001</v>
          </cell>
          <cell r="AA39">
            <v>195429.902</v>
          </cell>
          <cell r="AB39">
            <v>238894.78099999999</v>
          </cell>
          <cell r="AC39">
            <v>298449.78100000002</v>
          </cell>
          <cell r="AD39">
            <v>363240.84999999992</v>
          </cell>
          <cell r="AE39">
            <v>425906.84999999992</v>
          </cell>
          <cell r="AF39">
            <v>492173.84999999992</v>
          </cell>
          <cell r="AG39">
            <v>548039.85</v>
          </cell>
          <cell r="AH39">
            <v>549670.85</v>
          </cell>
          <cell r="AI39">
            <v>632517.85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 xml:space="preserve">BUDGET </v>
          </cell>
          <cell r="C43"/>
          <cell r="D43"/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A44">
            <v>41</v>
          </cell>
          <cell r="B44" t="str">
            <v>Customers  - YTD average</v>
          </cell>
          <cell r="C44"/>
          <cell r="D44"/>
          <cell r="E44">
            <v>31875</v>
          </cell>
          <cell r="F44">
            <v>31882</v>
          </cell>
          <cell r="G44">
            <v>31891</v>
          </cell>
          <cell r="H44">
            <v>31914</v>
          </cell>
          <cell r="I44">
            <v>31938</v>
          </cell>
          <cell r="J44">
            <v>31960</v>
          </cell>
          <cell r="K44">
            <v>31980</v>
          </cell>
          <cell r="L44">
            <v>31998</v>
          </cell>
          <cell r="M44">
            <v>32009</v>
          </cell>
          <cell r="N44">
            <v>32014</v>
          </cell>
          <cell r="O44">
            <v>32025</v>
          </cell>
          <cell r="P44">
            <v>32032</v>
          </cell>
          <cell r="T44">
            <v>39</v>
          </cell>
          <cell r="X44">
            <v>31729</v>
          </cell>
          <cell r="Y44">
            <v>31759</v>
          </cell>
          <cell r="Z44">
            <v>31783</v>
          </cell>
          <cell r="AA44">
            <v>31802</v>
          </cell>
          <cell r="AB44">
            <v>31819</v>
          </cell>
          <cell r="AC44">
            <v>31837</v>
          </cell>
          <cell r="AD44">
            <v>31851</v>
          </cell>
          <cell r="AE44">
            <v>31861</v>
          </cell>
          <cell r="AF44">
            <v>31867</v>
          </cell>
          <cell r="AG44">
            <v>31868</v>
          </cell>
          <cell r="AH44">
            <v>31874</v>
          </cell>
          <cell r="AI44">
            <v>31877</v>
          </cell>
        </row>
        <row r="45">
          <cell r="A45">
            <v>42</v>
          </cell>
          <cell r="B45" t="str">
            <v>Volume (KWH)- cumulative total</v>
          </cell>
          <cell r="C45"/>
          <cell r="D45"/>
          <cell r="E45">
            <v>51464.739000000001</v>
          </cell>
          <cell r="F45">
            <v>97909.599000000002</v>
          </cell>
          <cell r="G45">
            <v>141928.74400000001</v>
          </cell>
          <cell r="H45">
            <v>186533.03600000002</v>
          </cell>
          <cell r="I45">
            <v>232898.67600000004</v>
          </cell>
          <cell r="J45">
            <v>293502.12100000004</v>
          </cell>
          <cell r="K45">
            <v>361827.83000000007</v>
          </cell>
          <cell r="L45">
            <v>430135.79800000007</v>
          </cell>
          <cell r="M45">
            <v>496781.41200000007</v>
          </cell>
          <cell r="N45">
            <v>552320.64600000007</v>
          </cell>
          <cell r="O45">
            <v>598697.12200000009</v>
          </cell>
          <cell r="P45">
            <v>644860.92100000009</v>
          </cell>
          <cell r="T45">
            <v>40</v>
          </cell>
          <cell r="X45">
            <v>56588.516000000003</v>
          </cell>
          <cell r="Y45">
            <v>107556.984</v>
          </cell>
          <cell r="Z45">
            <v>152869.48699999999</v>
          </cell>
          <cell r="AA45">
            <v>194969.27899999998</v>
          </cell>
          <cell r="AB45">
            <v>239497.21699999998</v>
          </cell>
          <cell r="AC45">
            <v>293055.51299999998</v>
          </cell>
          <cell r="AD45">
            <v>358756.21699999995</v>
          </cell>
          <cell r="AE45">
            <v>423171.75899999996</v>
          </cell>
          <cell r="AF45">
            <v>483519.80099999998</v>
          </cell>
          <cell r="AG45">
            <v>531343.09</v>
          </cell>
          <cell r="AH45">
            <v>575212.29299999995</v>
          </cell>
          <cell r="AI45">
            <v>621163.35699999996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INPUT_Date.Etc"/>
      <sheetName val="Customers Act vs Budget"/>
      <sheetName val="VolumesActvsAct"/>
      <sheetName val="CustomersActvsAct"/>
      <sheetName val="Volumes Act vs Budget"/>
      <sheetName val="RegCust"/>
      <sheetName val="RegVol"/>
      <sheetName val="UnregCust"/>
      <sheetName val="UnregVol"/>
      <sheetName val="Utility stats Q1 2019"/>
      <sheetName val="Delaware"/>
      <sheetName val="Maryland"/>
      <sheetName val="Sandpiper"/>
      <sheetName val="Elkton"/>
      <sheetName val="CFG"/>
      <sheetName val="FPUNG"/>
      <sheetName val="ESNG"/>
      <sheetName val="Electric"/>
      <sheetName val="SharpDelmarva"/>
      <sheetName val="FloridaPropane"/>
      <sheetName val="AEO"/>
      <sheetName val="PESCO"/>
    </sheetNames>
    <sheetDataSet>
      <sheetData sheetId="0" refreshError="1"/>
      <sheetData sheetId="1">
        <row r="4">
          <cell r="B4">
            <v>12</v>
          </cell>
        </row>
        <row r="7">
          <cell r="B7" t="str">
            <v>For the Twelve Months ended December 31, 2020 and 2019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2020 and 2019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2020</v>
          </cell>
          <cell r="J14" t="str">
            <v>Actual customers for the Month of January 2019</v>
          </cell>
          <cell r="K14" t="str">
            <v>Average customers for the One Month ended January 31, 2020</v>
          </cell>
          <cell r="L14" t="str">
            <v>Average customers for the One Month ended January 31, 2019</v>
          </cell>
          <cell r="M14" t="str">
            <v>Volume for the Month of January 2020</v>
          </cell>
          <cell r="N14" t="str">
            <v>Volume for the Month of January 2019</v>
          </cell>
          <cell r="O14" t="str">
            <v>Volume for the One Month ended January 31, 2020</v>
          </cell>
          <cell r="P14" t="str">
            <v>Volume for the One Month ended January 31, 2019</v>
          </cell>
        </row>
        <row r="15">
          <cell r="A15">
            <v>2</v>
          </cell>
          <cell r="B15" t="str">
            <v>February</v>
          </cell>
          <cell r="C15">
            <v>29</v>
          </cell>
          <cell r="D15" t="str">
            <v>Two</v>
          </cell>
          <cell r="E15" t="str">
            <v>Months</v>
          </cell>
          <cell r="F15" t="str">
            <v>For the Two Months ended February 29, 2020 and 2019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2020</v>
          </cell>
          <cell r="J15" t="str">
            <v>Actual customers for the Month of February 2019</v>
          </cell>
          <cell r="K15" t="str">
            <v>Average customers for the Two Months ended February 29, 2020</v>
          </cell>
          <cell r="L15" t="str">
            <v>Average customers for the Two Months ended February 29, 2019</v>
          </cell>
          <cell r="M15" t="str">
            <v>Volume for the Month of February 2020</v>
          </cell>
          <cell r="N15" t="str">
            <v>Volume for the Month of February 2019</v>
          </cell>
          <cell r="O15" t="str">
            <v>Volume for the Two Months ended February 29, 2020</v>
          </cell>
          <cell r="P15" t="str">
            <v>Volume for the Two Months ended February 29, 2019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2020 and 2019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2020</v>
          </cell>
          <cell r="J16" t="str">
            <v>Actual customers for the Month of March 2019</v>
          </cell>
          <cell r="K16" t="str">
            <v>Average customers for the Three Months ended March 31, 2020</v>
          </cell>
          <cell r="L16" t="str">
            <v>Average customers for the Three Months ended March 31, 2019</v>
          </cell>
          <cell r="M16" t="str">
            <v>Volume for the Month of March 2020</v>
          </cell>
          <cell r="N16" t="str">
            <v>Volume for the Month of March 2019</v>
          </cell>
          <cell r="O16" t="str">
            <v>Volume for the Three Months ended March 31, 2020</v>
          </cell>
          <cell r="P16" t="str">
            <v>Volume for the Three Months ended March 31, 2019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2020 and 2019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2020</v>
          </cell>
          <cell r="J17" t="str">
            <v>Actual customers for the Month of April 2019</v>
          </cell>
          <cell r="K17" t="str">
            <v>Average customers for the Four Months ended April 30, 2020</v>
          </cell>
          <cell r="L17" t="str">
            <v>Average customers for the Four Months ended April 30, 2019</v>
          </cell>
          <cell r="M17" t="str">
            <v>Volume for the Month of April 2020</v>
          </cell>
          <cell r="N17" t="str">
            <v>Volume for the Month of April 2019</v>
          </cell>
          <cell r="O17" t="str">
            <v>Volume for the Four Months ended April 30, 2020</v>
          </cell>
          <cell r="P17" t="str">
            <v>Volume for the Four Months ended April 30, 2019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2020 and 2019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2020</v>
          </cell>
          <cell r="J18" t="str">
            <v>Actual customers for the Month of May 2019</v>
          </cell>
          <cell r="K18" t="str">
            <v>Average customers for the Five Months ended May 31, 2020</v>
          </cell>
          <cell r="L18" t="str">
            <v>Average customers for the Five Months ended May 31, 2019</v>
          </cell>
          <cell r="M18" t="str">
            <v>Volume for the Month of May 2020</v>
          </cell>
          <cell r="N18" t="str">
            <v>Volume for the Month of May 2019</v>
          </cell>
          <cell r="O18" t="str">
            <v>Volume for the Five Months ended May 31, 2020</v>
          </cell>
          <cell r="P18" t="str">
            <v>Volume for the Five Months ended May 31, 2019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2020 and 2019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2020</v>
          </cell>
          <cell r="J19" t="str">
            <v>Actual customers for the Month of June 2019</v>
          </cell>
          <cell r="K19" t="str">
            <v>Average customers for the Six Months ended June 30, 2020</v>
          </cell>
          <cell r="L19" t="str">
            <v>Average customers for the Six Months ended June 30, 2019</v>
          </cell>
          <cell r="M19" t="str">
            <v>Volume for the Month of June 2020</v>
          </cell>
          <cell r="N19" t="str">
            <v>Volume for the Month of June 2019</v>
          </cell>
          <cell r="O19" t="str">
            <v>Volume for the Six Months ended June 30, 2020</v>
          </cell>
          <cell r="P19" t="str">
            <v>Volume for the Six Months ended June 30, 2019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2020 and 2019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2020</v>
          </cell>
          <cell r="J20" t="str">
            <v>Actual customers for the Month of July 2019</v>
          </cell>
          <cell r="K20" t="str">
            <v>Average customers for the Seven Months ended July 31, 2020</v>
          </cell>
          <cell r="L20" t="str">
            <v>Average customers for the Seven Months ended July 31, 2019</v>
          </cell>
          <cell r="M20" t="str">
            <v>Volume for the Month of July 2020</v>
          </cell>
          <cell r="N20" t="str">
            <v>Volume for the Month of July 2019</v>
          </cell>
          <cell r="O20" t="str">
            <v>Volume for the Seven Months ended July 31, 2020</v>
          </cell>
          <cell r="P20" t="str">
            <v>Volume for the Seven Months ended July 31, 2019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2020 and 2019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2020</v>
          </cell>
          <cell r="J21" t="str">
            <v>Actual customers for the Month of August 2019</v>
          </cell>
          <cell r="K21" t="str">
            <v>Average customers for the Eight Months ended August 31, 2020</v>
          </cell>
          <cell r="L21" t="str">
            <v>Average customers for the Eight Months ended August 31, 2019</v>
          </cell>
          <cell r="M21" t="str">
            <v>Volume for the Month of August 2020</v>
          </cell>
          <cell r="N21" t="str">
            <v>Volume for the Month of August 2019</v>
          </cell>
          <cell r="O21" t="str">
            <v>Volume for the Eight Months ended August 31, 2020</v>
          </cell>
          <cell r="P21" t="str">
            <v>Volume for the Eight Months ended August 31, 2019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2020 and 2019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2020</v>
          </cell>
          <cell r="J22" t="str">
            <v>Actual customers for the Month of September 2019</v>
          </cell>
          <cell r="K22" t="str">
            <v>Average customers for the Nine Months ended September 30, 2020</v>
          </cell>
          <cell r="L22" t="str">
            <v>Average customers for the Nine Months ended September 30, 2019</v>
          </cell>
          <cell r="M22" t="str">
            <v>Volume for the Month of September 2020</v>
          </cell>
          <cell r="N22" t="str">
            <v>Volume for the Month of September 2019</v>
          </cell>
          <cell r="O22" t="str">
            <v>Volume for the Nine Months ended September 30, 2020</v>
          </cell>
          <cell r="P22" t="str">
            <v>Volume for the Nine Months ended September 30, 2019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2020 and 2019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2020</v>
          </cell>
          <cell r="J23" t="str">
            <v>Actual customers for the Month of October 2019</v>
          </cell>
          <cell r="K23" t="str">
            <v>Average customers for the Ten Months ended October 31, 2020</v>
          </cell>
          <cell r="L23" t="str">
            <v>Average customers for the Ten Months ended October 31, 2019</v>
          </cell>
          <cell r="M23" t="str">
            <v>Volume for the Month of October 2020</v>
          </cell>
          <cell r="N23" t="str">
            <v>Volume for the Month of October 2019</v>
          </cell>
          <cell r="O23" t="str">
            <v>Volume for the Ten Months ended October 31, 2020</v>
          </cell>
          <cell r="P23" t="str">
            <v>Volume for the Ten Months ended October 31, 2019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2020 and 2019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2020</v>
          </cell>
          <cell r="J24" t="str">
            <v>Actual customers for the Month of November 2019</v>
          </cell>
          <cell r="K24" t="str">
            <v>Average customers for the Eleven Months ended November 30, 2020</v>
          </cell>
          <cell r="L24" t="str">
            <v>Average customers for the Eleven Months ended November 30, 2019</v>
          </cell>
          <cell r="M24" t="str">
            <v>Volume for the Month of November 2020</v>
          </cell>
          <cell r="N24" t="str">
            <v>Volume for the Month of November 2019</v>
          </cell>
          <cell r="O24" t="str">
            <v>Volume for the Eleven Months ended November 30, 2020</v>
          </cell>
          <cell r="P24" t="str">
            <v>Volume for the Eleven Months ended November 30, 2019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2020 and 2019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2020</v>
          </cell>
          <cell r="J25" t="str">
            <v>Actual customers for the Month of December 2019</v>
          </cell>
          <cell r="K25" t="str">
            <v>Average customers for the Twelve Months ended December 31, 2020</v>
          </cell>
          <cell r="L25" t="str">
            <v>Average customers for the Twelve Months ended December 31, 2019</v>
          </cell>
          <cell r="M25" t="str">
            <v>Volume for the Month of December 2020</v>
          </cell>
          <cell r="N25" t="str">
            <v>Volume for the Month of December 2019</v>
          </cell>
          <cell r="O25" t="str">
            <v>Volume for the Twelve Months ended December 31, 2020</v>
          </cell>
          <cell r="P25" t="str">
            <v>Volume for the Twelve Months ended December 31, 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">
          <cell r="G3" t="str">
            <v>For the Twelve Months ended December 31, 2020 and 2019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56605.166666666664</v>
          </cell>
          <cell r="E5">
            <v>55404</v>
          </cell>
          <cell r="F5">
            <v>55605</v>
          </cell>
          <cell r="G5">
            <v>55794</v>
          </cell>
          <cell r="H5">
            <v>56100</v>
          </cell>
          <cell r="I5">
            <v>56302</v>
          </cell>
          <cell r="J5">
            <v>56460</v>
          </cell>
          <cell r="K5">
            <v>56576</v>
          </cell>
          <cell r="L5">
            <v>56806</v>
          </cell>
          <cell r="M5">
            <v>57057</v>
          </cell>
          <cell r="N5">
            <v>57356</v>
          </cell>
          <cell r="O5">
            <v>57713</v>
          </cell>
          <cell r="P5">
            <v>58089</v>
          </cell>
          <cell r="T5">
            <v>2</v>
          </cell>
          <cell r="U5" t="str">
            <v>Residential</v>
          </cell>
          <cell r="V5">
            <v>53205</v>
          </cell>
          <cell r="W5">
            <v>638457</v>
          </cell>
          <cell r="X5">
            <v>52740</v>
          </cell>
          <cell r="Y5">
            <v>52940</v>
          </cell>
          <cell r="Z5">
            <v>53088</v>
          </cell>
          <cell r="AA5">
            <v>53007</v>
          </cell>
          <cell r="AB5">
            <v>52965</v>
          </cell>
          <cell r="AC5">
            <v>52762</v>
          </cell>
          <cell r="AD5">
            <v>52810</v>
          </cell>
          <cell r="AE5">
            <v>52908</v>
          </cell>
          <cell r="AF5">
            <v>53071</v>
          </cell>
          <cell r="AG5">
            <v>53264</v>
          </cell>
          <cell r="AH5">
            <v>54017</v>
          </cell>
          <cell r="AI5">
            <v>54885</v>
          </cell>
        </row>
        <row r="6">
          <cell r="A6">
            <v>3</v>
          </cell>
          <cell r="B6" t="str">
            <v>Commercial</v>
          </cell>
          <cell r="D6">
            <v>4204.166666666667</v>
          </cell>
          <cell r="E6">
            <v>4223</v>
          </cell>
          <cell r="F6">
            <v>4230</v>
          </cell>
          <cell r="G6">
            <v>4245</v>
          </cell>
          <cell r="H6">
            <v>4214</v>
          </cell>
          <cell r="I6">
            <v>4204</v>
          </cell>
          <cell r="J6">
            <v>4186</v>
          </cell>
          <cell r="K6">
            <v>4178</v>
          </cell>
          <cell r="L6">
            <v>4167</v>
          </cell>
          <cell r="M6">
            <v>4167</v>
          </cell>
          <cell r="N6">
            <v>4178</v>
          </cell>
          <cell r="O6">
            <v>4204</v>
          </cell>
          <cell r="P6">
            <v>4254</v>
          </cell>
          <cell r="T6">
            <v>3</v>
          </cell>
          <cell r="U6" t="str">
            <v>Commercial</v>
          </cell>
          <cell r="V6">
            <v>4109</v>
          </cell>
          <cell r="W6">
            <v>49304</v>
          </cell>
          <cell r="X6">
            <v>4149</v>
          </cell>
          <cell r="Y6">
            <v>4173</v>
          </cell>
          <cell r="Z6">
            <v>4176</v>
          </cell>
          <cell r="AA6">
            <v>4155</v>
          </cell>
          <cell r="AB6">
            <v>4098</v>
          </cell>
          <cell r="AC6">
            <v>4061</v>
          </cell>
          <cell r="AD6">
            <v>4050</v>
          </cell>
          <cell r="AE6">
            <v>4052</v>
          </cell>
          <cell r="AF6">
            <v>4051</v>
          </cell>
          <cell r="AG6">
            <v>4048</v>
          </cell>
          <cell r="AH6">
            <v>4098</v>
          </cell>
          <cell r="AI6">
            <v>4193</v>
          </cell>
        </row>
        <row r="7">
          <cell r="A7">
            <v>4</v>
          </cell>
          <cell r="B7" t="str">
            <v xml:space="preserve">Industrial </v>
          </cell>
          <cell r="D7">
            <v>94.833333333333329</v>
          </cell>
          <cell r="E7">
            <v>95</v>
          </cell>
          <cell r="F7">
            <v>95</v>
          </cell>
          <cell r="G7">
            <v>94</v>
          </cell>
          <cell r="H7">
            <v>95</v>
          </cell>
          <cell r="I7">
            <v>95</v>
          </cell>
          <cell r="J7">
            <v>97</v>
          </cell>
          <cell r="K7">
            <v>93</v>
          </cell>
          <cell r="L7">
            <v>93</v>
          </cell>
          <cell r="M7">
            <v>93</v>
          </cell>
          <cell r="N7">
            <v>95</v>
          </cell>
          <cell r="O7">
            <v>96</v>
          </cell>
          <cell r="P7">
            <v>97</v>
          </cell>
          <cell r="T7">
            <v>4</v>
          </cell>
          <cell r="U7" t="str">
            <v xml:space="preserve">Industrial </v>
          </cell>
          <cell r="V7">
            <v>95</v>
          </cell>
          <cell r="W7">
            <v>1135</v>
          </cell>
          <cell r="X7">
            <v>93</v>
          </cell>
          <cell r="Y7">
            <v>95</v>
          </cell>
          <cell r="Z7">
            <v>96</v>
          </cell>
          <cell r="AA7">
            <v>94</v>
          </cell>
          <cell r="AB7">
            <v>94</v>
          </cell>
          <cell r="AC7">
            <v>94</v>
          </cell>
          <cell r="AD7">
            <v>94</v>
          </cell>
          <cell r="AE7">
            <v>94</v>
          </cell>
          <cell r="AF7">
            <v>95</v>
          </cell>
          <cell r="AG7">
            <v>95</v>
          </cell>
          <cell r="AH7">
            <v>95</v>
          </cell>
          <cell r="AI7">
            <v>96</v>
          </cell>
        </row>
        <row r="8">
          <cell r="A8">
            <v>5</v>
          </cell>
          <cell r="B8" t="str">
            <v>Other</v>
          </cell>
          <cell r="D8">
            <v>15.75</v>
          </cell>
          <cell r="E8">
            <v>21</v>
          </cell>
          <cell r="F8">
            <v>15</v>
          </cell>
          <cell r="G8">
            <v>17</v>
          </cell>
          <cell r="H8">
            <v>9</v>
          </cell>
          <cell r="I8">
            <v>15</v>
          </cell>
          <cell r="J8">
            <v>23</v>
          </cell>
          <cell r="K8">
            <v>21</v>
          </cell>
          <cell r="L8">
            <v>17</v>
          </cell>
          <cell r="M8">
            <v>24</v>
          </cell>
          <cell r="N8">
            <v>19</v>
          </cell>
          <cell r="O8">
            <v>4</v>
          </cell>
          <cell r="P8">
            <v>4</v>
          </cell>
          <cell r="T8">
            <v>5</v>
          </cell>
          <cell r="U8" t="str">
            <v xml:space="preserve">Interruptible </v>
          </cell>
          <cell r="V8">
            <v>15</v>
          </cell>
          <cell r="W8">
            <v>185</v>
          </cell>
          <cell r="X8">
            <v>8</v>
          </cell>
          <cell r="Y8">
            <v>12</v>
          </cell>
          <cell r="Z8">
            <v>6</v>
          </cell>
          <cell r="AA8">
            <v>10</v>
          </cell>
          <cell r="AB8">
            <v>16</v>
          </cell>
          <cell r="AC8">
            <v>22</v>
          </cell>
          <cell r="AD8">
            <v>16</v>
          </cell>
          <cell r="AE8">
            <v>17</v>
          </cell>
          <cell r="AF8">
            <v>20</v>
          </cell>
          <cell r="AG8">
            <v>20</v>
          </cell>
          <cell r="AH8">
            <v>21</v>
          </cell>
          <cell r="AI8">
            <v>17</v>
          </cell>
        </row>
        <row r="9">
          <cell r="A9">
            <v>6</v>
          </cell>
          <cell r="B9" t="str">
            <v>Total customers</v>
          </cell>
          <cell r="D9">
            <v>60919.916666666664</v>
          </cell>
          <cell r="E9">
            <v>59743</v>
          </cell>
          <cell r="F9">
            <v>59945</v>
          </cell>
          <cell r="G9">
            <v>60150</v>
          </cell>
          <cell r="H9">
            <v>60418</v>
          </cell>
          <cell r="I9">
            <v>60616</v>
          </cell>
          <cell r="J9">
            <v>60766</v>
          </cell>
          <cell r="K9">
            <v>60868</v>
          </cell>
          <cell r="L9">
            <v>61083</v>
          </cell>
          <cell r="M9">
            <v>61341</v>
          </cell>
          <cell r="N9">
            <v>61648</v>
          </cell>
          <cell r="O9">
            <v>62017</v>
          </cell>
          <cell r="P9">
            <v>62444</v>
          </cell>
          <cell r="T9">
            <v>6</v>
          </cell>
          <cell r="U9" t="str">
            <v>Total customers</v>
          </cell>
          <cell r="V9">
            <v>57424</v>
          </cell>
          <cell r="W9">
            <v>689081</v>
          </cell>
          <cell r="X9">
            <v>56990</v>
          </cell>
          <cell r="Y9">
            <v>57220</v>
          </cell>
          <cell r="Z9">
            <v>57366</v>
          </cell>
          <cell r="AA9">
            <v>57266</v>
          </cell>
          <cell r="AB9">
            <v>57173</v>
          </cell>
          <cell r="AC9">
            <v>56939</v>
          </cell>
          <cell r="AD9">
            <v>56970</v>
          </cell>
          <cell r="AE9">
            <v>57071</v>
          </cell>
          <cell r="AF9">
            <v>57237</v>
          </cell>
          <cell r="AG9">
            <v>57427</v>
          </cell>
          <cell r="AH9">
            <v>58231</v>
          </cell>
          <cell r="AI9">
            <v>59191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- 2020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- 2019 -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2809694</v>
          </cell>
          <cell r="E12">
            <v>542160</v>
          </cell>
          <cell r="F12">
            <v>513289</v>
          </cell>
          <cell r="G12">
            <v>424355</v>
          </cell>
          <cell r="H12">
            <v>272873</v>
          </cell>
          <cell r="I12">
            <v>217847</v>
          </cell>
          <cell r="J12">
            <v>89659</v>
          </cell>
          <cell r="K12">
            <v>53768</v>
          </cell>
          <cell r="L12">
            <v>49625</v>
          </cell>
          <cell r="M12">
            <v>48375</v>
          </cell>
          <cell r="N12">
            <v>68075</v>
          </cell>
          <cell r="O12">
            <v>171614</v>
          </cell>
          <cell r="P12">
            <v>358054</v>
          </cell>
          <cell r="T12">
            <v>9</v>
          </cell>
          <cell r="U12" t="str">
            <v>Residential</v>
          </cell>
          <cell r="W12">
            <v>2958061</v>
          </cell>
          <cell r="X12">
            <v>516272</v>
          </cell>
          <cell r="Y12">
            <v>660551</v>
          </cell>
          <cell r="Z12">
            <v>517597</v>
          </cell>
          <cell r="AA12">
            <v>271811</v>
          </cell>
          <cell r="AB12">
            <v>91296</v>
          </cell>
          <cell r="AC12">
            <v>58790</v>
          </cell>
          <cell r="AD12">
            <v>46437</v>
          </cell>
          <cell r="AE12">
            <v>42742</v>
          </cell>
          <cell r="AF12">
            <v>45806</v>
          </cell>
          <cell r="AG12">
            <v>55610</v>
          </cell>
          <cell r="AH12">
            <v>218946</v>
          </cell>
          <cell r="AI12">
            <v>432203</v>
          </cell>
        </row>
        <row r="13">
          <cell r="A13">
            <v>10</v>
          </cell>
          <cell r="B13" t="str">
            <v>Commercial</v>
          </cell>
          <cell r="D13">
            <v>2171122</v>
          </cell>
          <cell r="E13">
            <v>347748</v>
          </cell>
          <cell r="F13">
            <v>333837</v>
          </cell>
          <cell r="G13">
            <v>269915</v>
          </cell>
          <cell r="H13">
            <v>189449</v>
          </cell>
          <cell r="I13">
            <v>137947</v>
          </cell>
          <cell r="J13">
            <v>98118</v>
          </cell>
          <cell r="K13">
            <v>82653</v>
          </cell>
          <cell r="L13">
            <v>78042</v>
          </cell>
          <cell r="M13">
            <v>88901</v>
          </cell>
          <cell r="N13">
            <v>115168</v>
          </cell>
          <cell r="O13">
            <v>160282</v>
          </cell>
          <cell r="P13">
            <v>269062</v>
          </cell>
          <cell r="T13">
            <v>10</v>
          </cell>
          <cell r="U13" t="str">
            <v>Commercial</v>
          </cell>
          <cell r="W13">
            <v>2321424</v>
          </cell>
          <cell r="X13">
            <v>350282</v>
          </cell>
          <cell r="Y13">
            <v>383162</v>
          </cell>
          <cell r="Z13">
            <v>335595</v>
          </cell>
          <cell r="AA13">
            <v>187143</v>
          </cell>
          <cell r="AB13">
            <v>112919</v>
          </cell>
          <cell r="AC13">
            <v>90553</v>
          </cell>
          <cell r="AD13">
            <v>79795</v>
          </cell>
          <cell r="AE13">
            <v>80733</v>
          </cell>
          <cell r="AF13">
            <v>85685</v>
          </cell>
          <cell r="AG13">
            <v>104716</v>
          </cell>
          <cell r="AH13">
            <v>195833</v>
          </cell>
          <cell r="AI13">
            <v>315008</v>
          </cell>
        </row>
        <row r="14">
          <cell r="A14">
            <v>11</v>
          </cell>
          <cell r="B14" t="str">
            <v xml:space="preserve">Industrial </v>
          </cell>
          <cell r="D14">
            <v>2887403</v>
          </cell>
          <cell r="E14">
            <v>284932</v>
          </cell>
          <cell r="F14">
            <v>269390</v>
          </cell>
          <cell r="G14">
            <v>263171</v>
          </cell>
          <cell r="H14">
            <v>234948</v>
          </cell>
          <cell r="I14">
            <v>217298</v>
          </cell>
          <cell r="J14">
            <v>219366</v>
          </cell>
          <cell r="K14">
            <v>206146</v>
          </cell>
          <cell r="L14">
            <v>187200</v>
          </cell>
          <cell r="M14">
            <v>231134</v>
          </cell>
          <cell r="N14">
            <v>287171</v>
          </cell>
          <cell r="O14">
            <v>221926</v>
          </cell>
          <cell r="P14">
            <v>264721</v>
          </cell>
          <cell r="T14">
            <v>11</v>
          </cell>
          <cell r="U14" t="str">
            <v xml:space="preserve">Industrial </v>
          </cell>
          <cell r="W14">
            <v>3067958</v>
          </cell>
          <cell r="X14">
            <v>301266</v>
          </cell>
          <cell r="Y14">
            <v>288058</v>
          </cell>
          <cell r="Z14">
            <v>301483</v>
          </cell>
          <cell r="AA14">
            <v>252945</v>
          </cell>
          <cell r="AB14">
            <v>240670</v>
          </cell>
          <cell r="AC14">
            <v>217638</v>
          </cell>
          <cell r="AD14">
            <v>217544</v>
          </cell>
          <cell r="AE14">
            <v>224816</v>
          </cell>
          <cell r="AF14">
            <v>249398</v>
          </cell>
          <cell r="AG14">
            <v>254452</v>
          </cell>
          <cell r="AH14">
            <v>251001</v>
          </cell>
          <cell r="AI14">
            <v>268687</v>
          </cell>
        </row>
        <row r="15">
          <cell r="A15">
            <v>12</v>
          </cell>
          <cell r="B15" t="str">
            <v>Other</v>
          </cell>
          <cell r="D15">
            <v>260375</v>
          </cell>
          <cell r="E15">
            <v>26758</v>
          </cell>
          <cell r="F15">
            <v>25205</v>
          </cell>
          <cell r="G15">
            <v>22180</v>
          </cell>
          <cell r="H15">
            <v>21700</v>
          </cell>
          <cell r="I15">
            <v>19317</v>
          </cell>
          <cell r="J15">
            <v>22639</v>
          </cell>
          <cell r="K15">
            <v>18699</v>
          </cell>
          <cell r="L15">
            <v>15278</v>
          </cell>
          <cell r="M15">
            <v>17306</v>
          </cell>
          <cell r="N15">
            <v>22028</v>
          </cell>
          <cell r="O15">
            <v>21708</v>
          </cell>
          <cell r="P15">
            <v>27557</v>
          </cell>
          <cell r="T15">
            <v>12</v>
          </cell>
          <cell r="U15" t="str">
            <v xml:space="preserve">Interruptible </v>
          </cell>
          <cell r="W15">
            <v>212140</v>
          </cell>
          <cell r="X15">
            <v>7334</v>
          </cell>
          <cell r="Y15">
            <v>4776</v>
          </cell>
          <cell r="Z15">
            <v>5005</v>
          </cell>
          <cell r="AA15">
            <v>25476</v>
          </cell>
          <cell r="AB15">
            <v>17690</v>
          </cell>
          <cell r="AC15">
            <v>15036</v>
          </cell>
          <cell r="AD15">
            <v>15568</v>
          </cell>
          <cell r="AE15">
            <v>21009</v>
          </cell>
          <cell r="AF15">
            <v>20699</v>
          </cell>
          <cell r="AG15">
            <v>23848</v>
          </cell>
          <cell r="AH15">
            <v>24023</v>
          </cell>
          <cell r="AI15">
            <v>31676</v>
          </cell>
        </row>
        <row r="16">
          <cell r="A16">
            <v>13</v>
          </cell>
          <cell r="B16" t="str">
            <v>Total Volume</v>
          </cell>
          <cell r="D16">
            <v>8128594</v>
          </cell>
          <cell r="E16">
            <v>1201598</v>
          </cell>
          <cell r="F16">
            <v>1141721</v>
          </cell>
          <cell r="G16">
            <v>979621</v>
          </cell>
          <cell r="H16">
            <v>718970</v>
          </cell>
          <cell r="I16">
            <v>592409</v>
          </cell>
          <cell r="J16">
            <v>429782</v>
          </cell>
          <cell r="K16">
            <v>361266</v>
          </cell>
          <cell r="L16">
            <v>330145</v>
          </cell>
          <cell r="M16">
            <v>385716</v>
          </cell>
          <cell r="N16">
            <v>492442</v>
          </cell>
          <cell r="O16">
            <v>575530</v>
          </cell>
          <cell r="P16">
            <v>919394</v>
          </cell>
          <cell r="T16">
            <v>13</v>
          </cell>
          <cell r="U16" t="str">
            <v>Total Deliveries</v>
          </cell>
          <cell r="W16">
            <v>8559583</v>
          </cell>
          <cell r="X16">
            <v>1175154</v>
          </cell>
          <cell r="Y16">
            <v>1336547</v>
          </cell>
          <cell r="Z16">
            <v>1159680</v>
          </cell>
          <cell r="AA16">
            <v>737375</v>
          </cell>
          <cell r="AB16">
            <v>462575</v>
          </cell>
          <cell r="AC16">
            <v>382017</v>
          </cell>
          <cell r="AD16">
            <v>359344</v>
          </cell>
          <cell r="AE16">
            <v>369300</v>
          </cell>
          <cell r="AF16">
            <v>401588</v>
          </cell>
          <cell r="AG16">
            <v>438626</v>
          </cell>
          <cell r="AH16">
            <v>689803</v>
          </cell>
          <cell r="AI16">
            <v>1047574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1.036532</v>
          </cell>
          <cell r="F18">
            <v>1.0381069999999999</v>
          </cell>
          <cell r="G18">
            <v>1.03756</v>
          </cell>
          <cell r="H18">
            <v>1.038702</v>
          </cell>
          <cell r="I18">
            <v>1.0374890000000001</v>
          </cell>
          <cell r="J18">
            <v>1.0361590000000001</v>
          </cell>
          <cell r="K18">
            <v>1.0339069999999999</v>
          </cell>
          <cell r="L18">
            <v>1.0337160000000001</v>
          </cell>
          <cell r="M18">
            <v>1.0382199999999999</v>
          </cell>
          <cell r="N18">
            <v>1.0341530000000001</v>
          </cell>
          <cell r="O18">
            <v>1.037547</v>
          </cell>
          <cell r="P18">
            <v>1.039072</v>
          </cell>
          <cell r="T18">
            <v>15</v>
          </cell>
          <cell r="X18">
            <v>1.0446409999999999</v>
          </cell>
          <cell r="Y18">
            <v>1.043005</v>
          </cell>
          <cell r="Z18">
            <v>1.042327</v>
          </cell>
          <cell r="AA18">
            <v>1.040551</v>
          </cell>
          <cell r="AB18">
            <v>1.039137</v>
          </cell>
          <cell r="AC18">
            <v>1.0389269999999999</v>
          </cell>
          <cell r="AD18">
            <v>1.0397700000000001</v>
          </cell>
          <cell r="AE18">
            <v>1.0451280000000001</v>
          </cell>
          <cell r="AF18">
            <v>1.038249</v>
          </cell>
          <cell r="AG18">
            <v>1.0398369999999999</v>
          </cell>
          <cell r="AH18">
            <v>1.0389200000000001</v>
          </cell>
          <cell r="AI18">
            <v>1.034735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- 2020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- 2019 -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2915192</v>
          </cell>
          <cell r="E21">
            <v>561966</v>
          </cell>
          <cell r="F21">
            <v>532849</v>
          </cell>
          <cell r="G21">
            <v>440294</v>
          </cell>
          <cell r="H21">
            <v>283434</v>
          </cell>
          <cell r="I21">
            <v>226014</v>
          </cell>
          <cell r="J21">
            <v>93020</v>
          </cell>
          <cell r="K21">
            <v>55591</v>
          </cell>
          <cell r="L21">
            <v>51298</v>
          </cell>
          <cell r="M21">
            <v>50224</v>
          </cell>
          <cell r="N21">
            <v>70400</v>
          </cell>
          <cell r="O21">
            <v>178058</v>
          </cell>
          <cell r="P21">
            <v>372044</v>
          </cell>
          <cell r="T21">
            <v>18</v>
          </cell>
          <cell r="U21" t="str">
            <v>Residential</v>
          </cell>
          <cell r="W21">
            <v>3079584</v>
          </cell>
          <cell r="X21">
            <v>539319</v>
          </cell>
          <cell r="Y21">
            <v>688958</v>
          </cell>
          <cell r="Z21">
            <v>539505</v>
          </cell>
          <cell r="AA21">
            <v>282833</v>
          </cell>
          <cell r="AB21">
            <v>94869</v>
          </cell>
          <cell r="AC21">
            <v>61079</v>
          </cell>
          <cell r="AD21">
            <v>48284</v>
          </cell>
          <cell r="AE21">
            <v>44671</v>
          </cell>
          <cell r="AF21">
            <v>47558</v>
          </cell>
          <cell r="AG21">
            <v>57825</v>
          </cell>
          <cell r="AH21">
            <v>227467</v>
          </cell>
          <cell r="AI21">
            <v>447216</v>
          </cell>
        </row>
        <row r="22">
          <cell r="A22">
            <v>19</v>
          </cell>
          <cell r="B22" t="str">
            <v>Commercial</v>
          </cell>
          <cell r="D22">
            <v>2252163</v>
          </cell>
          <cell r="E22">
            <v>360452</v>
          </cell>
          <cell r="F22">
            <v>346559</v>
          </cell>
          <cell r="G22">
            <v>280053</v>
          </cell>
          <cell r="H22">
            <v>196781</v>
          </cell>
          <cell r="I22">
            <v>143118</v>
          </cell>
          <cell r="J22">
            <v>101796</v>
          </cell>
          <cell r="K22">
            <v>85456</v>
          </cell>
          <cell r="L22">
            <v>80673</v>
          </cell>
          <cell r="M22">
            <v>92299</v>
          </cell>
          <cell r="N22">
            <v>119101</v>
          </cell>
          <cell r="O22">
            <v>166300</v>
          </cell>
          <cell r="P22">
            <v>279575</v>
          </cell>
          <cell r="T22">
            <v>19</v>
          </cell>
          <cell r="U22" t="str">
            <v>Commercial</v>
          </cell>
          <cell r="W22">
            <v>2416106</v>
          </cell>
          <cell r="X22">
            <v>365919</v>
          </cell>
          <cell r="Y22">
            <v>399640</v>
          </cell>
          <cell r="Z22">
            <v>349800</v>
          </cell>
          <cell r="AA22">
            <v>194732</v>
          </cell>
          <cell r="AB22">
            <v>117338</v>
          </cell>
          <cell r="AC22">
            <v>94078</v>
          </cell>
          <cell r="AD22">
            <v>82968</v>
          </cell>
          <cell r="AE22">
            <v>84376</v>
          </cell>
          <cell r="AF22">
            <v>88962</v>
          </cell>
          <cell r="AG22">
            <v>108888</v>
          </cell>
          <cell r="AH22">
            <v>203455</v>
          </cell>
          <cell r="AI22">
            <v>325950</v>
          </cell>
        </row>
        <row r="23">
          <cell r="A23">
            <v>20</v>
          </cell>
          <cell r="B23" t="str">
            <v xml:space="preserve">Industrial </v>
          </cell>
          <cell r="D23">
            <v>2994046</v>
          </cell>
          <cell r="E23">
            <v>295341</v>
          </cell>
          <cell r="F23">
            <v>279656</v>
          </cell>
          <cell r="G23">
            <v>273056</v>
          </cell>
          <cell r="H23">
            <v>244041</v>
          </cell>
          <cell r="I23">
            <v>225444</v>
          </cell>
          <cell r="J23">
            <v>227590</v>
          </cell>
          <cell r="K23">
            <v>213136</v>
          </cell>
          <cell r="L23">
            <v>193512</v>
          </cell>
          <cell r="M23">
            <v>239968</v>
          </cell>
          <cell r="N23">
            <v>296979</v>
          </cell>
          <cell r="O23">
            <v>230259</v>
          </cell>
          <cell r="P23">
            <v>275064</v>
          </cell>
          <cell r="T23">
            <v>20</v>
          </cell>
          <cell r="U23" t="str">
            <v xml:space="preserve">Industrial </v>
          </cell>
          <cell r="W23">
            <v>3192279</v>
          </cell>
          <cell r="X23">
            <v>314715</v>
          </cell>
          <cell r="Y23">
            <v>300446</v>
          </cell>
          <cell r="Z23">
            <v>314244</v>
          </cell>
          <cell r="AA23">
            <v>263202</v>
          </cell>
          <cell r="AB23">
            <v>250089</v>
          </cell>
          <cell r="AC23">
            <v>226110</v>
          </cell>
          <cell r="AD23">
            <v>226196</v>
          </cell>
          <cell r="AE23">
            <v>234961</v>
          </cell>
          <cell r="AF23">
            <v>258937</v>
          </cell>
          <cell r="AG23">
            <v>264589</v>
          </cell>
          <cell r="AH23">
            <v>260770</v>
          </cell>
          <cell r="AI23">
            <v>278020</v>
          </cell>
        </row>
        <row r="24">
          <cell r="A24">
            <v>21</v>
          </cell>
          <cell r="B24" t="str">
            <v>Other</v>
          </cell>
          <cell r="D24">
            <v>270013</v>
          </cell>
          <cell r="E24">
            <v>27736</v>
          </cell>
          <cell r="F24">
            <v>26165</v>
          </cell>
          <cell r="G24">
            <v>23013</v>
          </cell>
          <cell r="H24">
            <v>22540</v>
          </cell>
          <cell r="I24">
            <v>20041</v>
          </cell>
          <cell r="J24">
            <v>23488</v>
          </cell>
          <cell r="K24">
            <v>19333</v>
          </cell>
          <cell r="L24">
            <v>15793</v>
          </cell>
          <cell r="M24">
            <v>17967</v>
          </cell>
          <cell r="N24">
            <v>22780</v>
          </cell>
          <cell r="O24">
            <v>22523</v>
          </cell>
          <cell r="P24">
            <v>28634</v>
          </cell>
          <cell r="T24">
            <v>21</v>
          </cell>
          <cell r="U24" t="str">
            <v xml:space="preserve">Interruptible </v>
          </cell>
          <cell r="W24">
            <v>220538</v>
          </cell>
          <cell r="X24">
            <v>7661</v>
          </cell>
          <cell r="Y24">
            <v>4981</v>
          </cell>
          <cell r="Z24">
            <v>5217</v>
          </cell>
          <cell r="AA24">
            <v>26509</v>
          </cell>
          <cell r="AB24">
            <v>18382</v>
          </cell>
          <cell r="AC24">
            <v>15621</v>
          </cell>
          <cell r="AD24">
            <v>16187</v>
          </cell>
          <cell r="AE24">
            <v>21957</v>
          </cell>
          <cell r="AF24">
            <v>21491</v>
          </cell>
          <cell r="AG24">
            <v>24798</v>
          </cell>
          <cell r="AH24">
            <v>24958</v>
          </cell>
          <cell r="AI24">
            <v>32776</v>
          </cell>
        </row>
        <row r="25">
          <cell r="A25">
            <v>22</v>
          </cell>
          <cell r="B25" t="str">
            <v>Total Volume</v>
          </cell>
          <cell r="D25">
            <v>8431414</v>
          </cell>
          <cell r="E25">
            <v>1245495</v>
          </cell>
          <cell r="F25">
            <v>1185229</v>
          </cell>
          <cell r="G25">
            <v>1016416</v>
          </cell>
          <cell r="H25">
            <v>746796</v>
          </cell>
          <cell r="I25">
            <v>614617</v>
          </cell>
          <cell r="J25">
            <v>445894</v>
          </cell>
          <cell r="K25">
            <v>373516</v>
          </cell>
          <cell r="L25">
            <v>341276</v>
          </cell>
          <cell r="M25">
            <v>400458</v>
          </cell>
          <cell r="N25">
            <v>509260</v>
          </cell>
          <cell r="O25">
            <v>597140</v>
          </cell>
          <cell r="P25">
            <v>955317</v>
          </cell>
          <cell r="T25">
            <v>22</v>
          </cell>
          <cell r="U25" t="str">
            <v>Total Deliveries</v>
          </cell>
          <cell r="W25">
            <v>8908507</v>
          </cell>
          <cell r="X25">
            <v>1227614</v>
          </cell>
          <cell r="Y25">
            <v>1394025</v>
          </cell>
          <cell r="Z25">
            <v>1208766</v>
          </cell>
          <cell r="AA25">
            <v>767276</v>
          </cell>
          <cell r="AB25">
            <v>480678</v>
          </cell>
          <cell r="AC25">
            <v>396888</v>
          </cell>
          <cell r="AD25">
            <v>373635</v>
          </cell>
          <cell r="AE25">
            <v>385965</v>
          </cell>
          <cell r="AF25">
            <v>416948</v>
          </cell>
          <cell r="AG25">
            <v>456100</v>
          </cell>
          <cell r="AH25">
            <v>716650</v>
          </cell>
          <cell r="AI25">
            <v>1083962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59335</v>
          </cell>
          <cell r="F28">
            <v>59473</v>
          </cell>
          <cell r="G28">
            <v>59600</v>
          </cell>
          <cell r="H28">
            <v>59487</v>
          </cell>
          <cell r="I28">
            <v>59390</v>
          </cell>
          <cell r="J28">
            <v>59434</v>
          </cell>
          <cell r="K28">
            <v>59687</v>
          </cell>
          <cell r="L28">
            <v>60009</v>
          </cell>
          <cell r="M28">
            <v>60404</v>
          </cell>
          <cell r="N28">
            <v>61117</v>
          </cell>
          <cell r="O28">
            <v>61952</v>
          </cell>
          <cell r="P28">
            <v>62450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1320152.7746720577</v>
          </cell>
          <cell r="F29">
            <v>1361116.3054241058</v>
          </cell>
          <cell r="G29">
            <v>1162537.4383521827</v>
          </cell>
          <cell r="H29">
            <v>810470.5536296803</v>
          </cell>
          <cell r="I29">
            <v>540963.18605635979</v>
          </cell>
          <cell r="J29">
            <v>404828.90850836743</v>
          </cell>
          <cell r="K29">
            <v>346057.78252550884</v>
          </cell>
          <cell r="L29">
            <v>370262.47130296833</v>
          </cell>
          <cell r="M29">
            <v>376340.40262297192</v>
          </cell>
          <cell r="N29">
            <v>533267.21424713195</v>
          </cell>
          <cell r="O29">
            <v>782598.30870556214</v>
          </cell>
          <cell r="P29">
            <v>1117425.3965538857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1366358.1217855797</v>
          </cell>
          <cell r="F30">
            <v>1408755.3761139493</v>
          </cell>
          <cell r="G30">
            <v>1203226.248694509</v>
          </cell>
          <cell r="H30">
            <v>838837.02300671907</v>
          </cell>
          <cell r="I30">
            <v>559896.89756833238</v>
          </cell>
          <cell r="J30">
            <v>418997.92030616023</v>
          </cell>
          <cell r="K30">
            <v>358169.80491390161</v>
          </cell>
          <cell r="L30">
            <v>383221.65779857221</v>
          </cell>
          <cell r="M30">
            <v>389512.31671477592</v>
          </cell>
          <cell r="N30">
            <v>551931.56674578157</v>
          </cell>
          <cell r="O30">
            <v>809989.24951025681</v>
          </cell>
          <cell r="P30">
            <v>1156535.2854332717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55404</v>
          </cell>
          <cell r="F34">
            <v>55505</v>
          </cell>
          <cell r="G34">
            <v>55601</v>
          </cell>
          <cell r="H34">
            <v>55726</v>
          </cell>
          <cell r="I34">
            <v>55841</v>
          </cell>
          <cell r="J34">
            <v>55944</v>
          </cell>
          <cell r="K34">
            <v>56034</v>
          </cell>
          <cell r="L34">
            <v>56131</v>
          </cell>
          <cell r="M34">
            <v>56234</v>
          </cell>
          <cell r="N34">
            <v>56346</v>
          </cell>
          <cell r="O34">
            <v>56470</v>
          </cell>
          <cell r="P34">
            <v>56605</v>
          </cell>
          <cell r="T34">
            <v>31</v>
          </cell>
          <cell r="U34" t="str">
            <v>Residential</v>
          </cell>
          <cell r="X34">
            <v>52740</v>
          </cell>
          <cell r="Y34">
            <v>52840</v>
          </cell>
          <cell r="Z34">
            <v>52923</v>
          </cell>
          <cell r="AA34">
            <v>52944</v>
          </cell>
          <cell r="AB34">
            <v>52948</v>
          </cell>
          <cell r="AC34">
            <v>52917</v>
          </cell>
          <cell r="AD34">
            <v>52902</v>
          </cell>
          <cell r="AE34">
            <v>52903</v>
          </cell>
          <cell r="AF34">
            <v>52921</v>
          </cell>
          <cell r="AG34">
            <v>52956</v>
          </cell>
          <cell r="AH34">
            <v>53052</v>
          </cell>
          <cell r="AI34">
            <v>53205</v>
          </cell>
        </row>
        <row r="35">
          <cell r="A35">
            <v>32</v>
          </cell>
          <cell r="B35" t="str">
            <v>Commercial</v>
          </cell>
          <cell r="E35">
            <v>4223</v>
          </cell>
          <cell r="F35">
            <v>4227</v>
          </cell>
          <cell r="G35">
            <v>4233</v>
          </cell>
          <cell r="H35">
            <v>4228</v>
          </cell>
          <cell r="I35">
            <v>4223</v>
          </cell>
          <cell r="J35">
            <v>4217</v>
          </cell>
          <cell r="K35">
            <v>4211</v>
          </cell>
          <cell r="L35">
            <v>4206</v>
          </cell>
          <cell r="M35">
            <v>4202</v>
          </cell>
          <cell r="N35">
            <v>4199</v>
          </cell>
          <cell r="O35">
            <v>4200</v>
          </cell>
          <cell r="P35">
            <v>4204</v>
          </cell>
          <cell r="T35">
            <v>32</v>
          </cell>
          <cell r="U35" t="str">
            <v>Commercial</v>
          </cell>
          <cell r="X35">
            <v>4149</v>
          </cell>
          <cell r="Y35">
            <v>4161</v>
          </cell>
          <cell r="Z35">
            <v>4166</v>
          </cell>
          <cell r="AA35">
            <v>4163</v>
          </cell>
          <cell r="AB35">
            <v>4150</v>
          </cell>
          <cell r="AC35">
            <v>4135</v>
          </cell>
          <cell r="AD35">
            <v>4123</v>
          </cell>
          <cell r="AE35">
            <v>4114</v>
          </cell>
          <cell r="AF35">
            <v>4107</v>
          </cell>
          <cell r="AG35">
            <v>4101</v>
          </cell>
          <cell r="AH35">
            <v>4101</v>
          </cell>
          <cell r="AI35">
            <v>4109</v>
          </cell>
        </row>
        <row r="36">
          <cell r="A36">
            <v>33</v>
          </cell>
          <cell r="B36" t="str">
            <v xml:space="preserve">Industrial </v>
          </cell>
          <cell r="E36">
            <v>95</v>
          </cell>
          <cell r="F36">
            <v>95</v>
          </cell>
          <cell r="G36">
            <v>95</v>
          </cell>
          <cell r="H36">
            <v>95</v>
          </cell>
          <cell r="I36">
            <v>95</v>
          </cell>
          <cell r="J36">
            <v>95</v>
          </cell>
          <cell r="K36">
            <v>95</v>
          </cell>
          <cell r="L36">
            <v>95</v>
          </cell>
          <cell r="M36">
            <v>94</v>
          </cell>
          <cell r="N36">
            <v>95</v>
          </cell>
          <cell r="O36">
            <v>95</v>
          </cell>
          <cell r="P36">
            <v>95</v>
          </cell>
          <cell r="T36">
            <v>33</v>
          </cell>
          <cell r="U36" t="str">
            <v xml:space="preserve">Industrial </v>
          </cell>
          <cell r="X36">
            <v>93</v>
          </cell>
          <cell r="Y36">
            <v>94</v>
          </cell>
          <cell r="Z36">
            <v>95</v>
          </cell>
          <cell r="AA36">
            <v>95</v>
          </cell>
          <cell r="AB36">
            <v>94</v>
          </cell>
          <cell r="AC36">
            <v>94</v>
          </cell>
          <cell r="AD36">
            <v>94</v>
          </cell>
          <cell r="AE36">
            <v>94</v>
          </cell>
          <cell r="AF36">
            <v>94</v>
          </cell>
          <cell r="AG36">
            <v>94</v>
          </cell>
          <cell r="AH36">
            <v>94</v>
          </cell>
          <cell r="AI36">
            <v>95</v>
          </cell>
        </row>
        <row r="37">
          <cell r="A37">
            <v>34</v>
          </cell>
          <cell r="B37" t="str">
            <v>Other</v>
          </cell>
          <cell r="E37">
            <v>21</v>
          </cell>
          <cell r="F37">
            <v>18</v>
          </cell>
          <cell r="G37">
            <v>18</v>
          </cell>
          <cell r="H37">
            <v>16</v>
          </cell>
          <cell r="I37">
            <v>15</v>
          </cell>
          <cell r="J37">
            <v>17</v>
          </cell>
          <cell r="K37">
            <v>17</v>
          </cell>
          <cell r="L37">
            <v>17</v>
          </cell>
          <cell r="M37">
            <v>18</v>
          </cell>
          <cell r="N37">
            <v>18</v>
          </cell>
          <cell r="O37">
            <v>17</v>
          </cell>
          <cell r="P37">
            <v>16</v>
          </cell>
          <cell r="T37">
            <v>34</v>
          </cell>
          <cell r="U37" t="str">
            <v>Other</v>
          </cell>
          <cell r="X37">
            <v>8</v>
          </cell>
          <cell r="Y37">
            <v>10</v>
          </cell>
          <cell r="Z37">
            <v>9</v>
          </cell>
          <cell r="AA37">
            <v>9</v>
          </cell>
          <cell r="AB37">
            <v>10</v>
          </cell>
          <cell r="AC37">
            <v>12</v>
          </cell>
          <cell r="AD37">
            <v>13</v>
          </cell>
          <cell r="AE37">
            <v>13</v>
          </cell>
          <cell r="AF37">
            <v>14</v>
          </cell>
          <cell r="AG37">
            <v>15</v>
          </cell>
          <cell r="AH37">
            <v>15</v>
          </cell>
          <cell r="AI37">
            <v>15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59743</v>
          </cell>
          <cell r="F38">
            <v>59845</v>
          </cell>
          <cell r="G38">
            <v>59947</v>
          </cell>
          <cell r="H38">
            <v>60065</v>
          </cell>
          <cell r="I38">
            <v>60174</v>
          </cell>
          <cell r="J38">
            <v>60273</v>
          </cell>
          <cell r="K38">
            <v>60357</v>
          </cell>
          <cell r="L38">
            <v>60449</v>
          </cell>
          <cell r="M38">
            <v>60548</v>
          </cell>
          <cell r="N38">
            <v>60658</v>
          </cell>
          <cell r="O38">
            <v>60782</v>
          </cell>
          <cell r="P38">
            <v>60920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56990</v>
          </cell>
          <cell r="Y38">
            <v>57105</v>
          </cell>
          <cell r="Z38">
            <v>57193</v>
          </cell>
          <cell r="AA38">
            <v>57211</v>
          </cell>
          <cell r="AB38">
            <v>57202</v>
          </cell>
          <cell r="AC38">
            <v>57158</v>
          </cell>
          <cell r="AD38">
            <v>57132</v>
          </cell>
          <cell r="AE38">
            <v>57124</v>
          </cell>
          <cell r="AF38">
            <v>57136</v>
          </cell>
          <cell r="AG38">
            <v>57166</v>
          </cell>
          <cell r="AH38">
            <v>57262</v>
          </cell>
          <cell r="AI38">
            <v>57424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542160</v>
          </cell>
          <cell r="F41">
            <v>1055449</v>
          </cell>
          <cell r="G41">
            <v>1479804</v>
          </cell>
          <cell r="H41">
            <v>1752677</v>
          </cell>
          <cell r="I41">
            <v>1970524</v>
          </cell>
          <cell r="J41">
            <v>2060183</v>
          </cell>
          <cell r="K41">
            <v>2113951</v>
          </cell>
          <cell r="L41">
            <v>2163576</v>
          </cell>
          <cell r="M41">
            <v>2211951</v>
          </cell>
          <cell r="N41">
            <v>2280026</v>
          </cell>
          <cell r="O41">
            <v>2451640</v>
          </cell>
          <cell r="P41">
            <v>2809694</v>
          </cell>
          <cell r="T41">
            <v>38</v>
          </cell>
          <cell r="U41" t="str">
            <v>Residential</v>
          </cell>
          <cell r="X41">
            <v>516272</v>
          </cell>
          <cell r="Y41">
            <v>1176823</v>
          </cell>
          <cell r="Z41">
            <v>1694420</v>
          </cell>
          <cell r="AA41">
            <v>1966231</v>
          </cell>
          <cell r="AB41">
            <v>2057527</v>
          </cell>
          <cell r="AC41">
            <v>2116317</v>
          </cell>
          <cell r="AD41">
            <v>2162754</v>
          </cell>
          <cell r="AE41">
            <v>2205496</v>
          </cell>
          <cell r="AF41">
            <v>2251302</v>
          </cell>
          <cell r="AG41">
            <v>2306912</v>
          </cell>
          <cell r="AH41">
            <v>2525858</v>
          </cell>
          <cell r="AI41">
            <v>2958061</v>
          </cell>
        </row>
        <row r="42">
          <cell r="A42">
            <v>39</v>
          </cell>
          <cell r="B42" t="str">
            <v>Commercial</v>
          </cell>
          <cell r="E42">
            <v>347748</v>
          </cell>
          <cell r="F42">
            <v>681585</v>
          </cell>
          <cell r="G42">
            <v>951500</v>
          </cell>
          <cell r="H42">
            <v>1140949</v>
          </cell>
          <cell r="I42">
            <v>1278896</v>
          </cell>
          <cell r="J42">
            <v>1377014</v>
          </cell>
          <cell r="K42">
            <v>1459667</v>
          </cell>
          <cell r="L42">
            <v>1537709</v>
          </cell>
          <cell r="M42">
            <v>1626610</v>
          </cell>
          <cell r="N42">
            <v>1741778</v>
          </cell>
          <cell r="O42">
            <v>1902060</v>
          </cell>
          <cell r="P42">
            <v>2171122</v>
          </cell>
          <cell r="T42">
            <v>39</v>
          </cell>
          <cell r="U42" t="str">
            <v>Commercial</v>
          </cell>
          <cell r="X42">
            <v>350282</v>
          </cell>
          <cell r="Y42">
            <v>733444</v>
          </cell>
          <cell r="Z42">
            <v>1069039</v>
          </cell>
          <cell r="AA42">
            <v>1256182</v>
          </cell>
          <cell r="AB42">
            <v>1369101</v>
          </cell>
          <cell r="AC42">
            <v>1459654</v>
          </cell>
          <cell r="AD42">
            <v>1539449</v>
          </cell>
          <cell r="AE42">
            <v>1620182</v>
          </cell>
          <cell r="AF42">
            <v>1705867</v>
          </cell>
          <cell r="AG42">
            <v>1810583</v>
          </cell>
          <cell r="AH42">
            <v>2006416</v>
          </cell>
          <cell r="AI42">
            <v>2321424</v>
          </cell>
        </row>
        <row r="43">
          <cell r="A43">
            <v>40</v>
          </cell>
          <cell r="B43" t="str">
            <v xml:space="preserve">Industrial </v>
          </cell>
          <cell r="E43">
            <v>284932</v>
          </cell>
          <cell r="F43">
            <v>554322</v>
          </cell>
          <cell r="G43">
            <v>817493</v>
          </cell>
          <cell r="H43">
            <v>1052441</v>
          </cell>
          <cell r="I43">
            <v>1269739</v>
          </cell>
          <cell r="J43">
            <v>1489105</v>
          </cell>
          <cell r="K43">
            <v>1695251</v>
          </cell>
          <cell r="L43">
            <v>1882451</v>
          </cell>
          <cell r="M43">
            <v>2113585</v>
          </cell>
          <cell r="N43">
            <v>2400756</v>
          </cell>
          <cell r="O43">
            <v>2622682</v>
          </cell>
          <cell r="P43">
            <v>2887403</v>
          </cell>
          <cell r="T43">
            <v>40</v>
          </cell>
          <cell r="U43" t="str">
            <v xml:space="preserve">Industrial </v>
          </cell>
          <cell r="X43">
            <v>301266</v>
          </cell>
          <cell r="Y43">
            <v>589324</v>
          </cell>
          <cell r="Z43">
            <v>890807</v>
          </cell>
          <cell r="AA43">
            <v>1143752</v>
          </cell>
          <cell r="AB43">
            <v>1384422</v>
          </cell>
          <cell r="AC43">
            <v>1602060</v>
          </cell>
          <cell r="AD43">
            <v>1819604</v>
          </cell>
          <cell r="AE43">
            <v>2044420</v>
          </cell>
          <cell r="AF43">
            <v>2293818</v>
          </cell>
          <cell r="AG43">
            <v>2548270</v>
          </cell>
          <cell r="AH43">
            <v>2799271</v>
          </cell>
          <cell r="AI43">
            <v>3067958</v>
          </cell>
        </row>
        <row r="44">
          <cell r="A44">
            <v>41</v>
          </cell>
          <cell r="B44" t="str">
            <v>Other</v>
          </cell>
          <cell r="E44">
            <v>26758</v>
          </cell>
          <cell r="F44">
            <v>51963</v>
          </cell>
          <cell r="G44">
            <v>74143</v>
          </cell>
          <cell r="H44">
            <v>95843</v>
          </cell>
          <cell r="I44">
            <v>115160</v>
          </cell>
          <cell r="J44">
            <v>137799</v>
          </cell>
          <cell r="K44">
            <v>156498</v>
          </cell>
          <cell r="L44">
            <v>171776</v>
          </cell>
          <cell r="M44">
            <v>189082</v>
          </cell>
          <cell r="N44">
            <v>211110</v>
          </cell>
          <cell r="O44">
            <v>232818</v>
          </cell>
          <cell r="P44">
            <v>260375</v>
          </cell>
          <cell r="T44">
            <v>41</v>
          </cell>
          <cell r="U44" t="str">
            <v>Other</v>
          </cell>
          <cell r="X44">
            <v>7334</v>
          </cell>
          <cell r="Y44">
            <v>12110</v>
          </cell>
          <cell r="Z44">
            <v>17115</v>
          </cell>
          <cell r="AA44">
            <v>42591</v>
          </cell>
          <cell r="AB44">
            <v>60281</v>
          </cell>
          <cell r="AC44">
            <v>75317</v>
          </cell>
          <cell r="AD44">
            <v>90885</v>
          </cell>
          <cell r="AE44">
            <v>111894</v>
          </cell>
          <cell r="AF44">
            <v>132593</v>
          </cell>
          <cell r="AG44">
            <v>156441</v>
          </cell>
          <cell r="AH44">
            <v>180464</v>
          </cell>
          <cell r="AI44">
            <v>212140</v>
          </cell>
        </row>
        <row r="45">
          <cell r="A45">
            <v>42</v>
          </cell>
          <cell r="B45" t="str">
            <v>Total Volume</v>
          </cell>
          <cell r="E45">
            <v>1201598</v>
          </cell>
          <cell r="F45">
            <v>2343319</v>
          </cell>
          <cell r="G45">
            <v>3322940</v>
          </cell>
          <cell r="H45">
            <v>4041910</v>
          </cell>
          <cell r="I45">
            <v>4634319</v>
          </cell>
          <cell r="J45">
            <v>5064101</v>
          </cell>
          <cell r="K45">
            <v>5425367</v>
          </cell>
          <cell r="L45">
            <v>5755512</v>
          </cell>
          <cell r="M45">
            <v>6141228</v>
          </cell>
          <cell r="N45">
            <v>6633670</v>
          </cell>
          <cell r="O45">
            <v>7209200</v>
          </cell>
          <cell r="P45">
            <v>8128594</v>
          </cell>
          <cell r="T45">
            <v>42</v>
          </cell>
          <cell r="U45" t="str">
            <v>Total Volume</v>
          </cell>
          <cell r="X45">
            <v>1175154</v>
          </cell>
          <cell r="Y45">
            <v>2511701</v>
          </cell>
          <cell r="Z45">
            <v>3671381</v>
          </cell>
          <cell r="AA45">
            <v>4408756</v>
          </cell>
          <cell r="AB45">
            <v>4871331</v>
          </cell>
          <cell r="AC45">
            <v>5253348</v>
          </cell>
          <cell r="AD45">
            <v>5612692</v>
          </cell>
          <cell r="AE45">
            <v>5981992</v>
          </cell>
          <cell r="AF45">
            <v>6383580</v>
          </cell>
          <cell r="AG45">
            <v>6822206</v>
          </cell>
          <cell r="AH45">
            <v>7512009</v>
          </cell>
          <cell r="AI45">
            <v>8559583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- 2019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561966</v>
          </cell>
          <cell r="F48">
            <v>1094815</v>
          </cell>
          <cell r="G48">
            <v>1535109</v>
          </cell>
          <cell r="H48">
            <v>1818543</v>
          </cell>
          <cell r="I48">
            <v>2044557</v>
          </cell>
          <cell r="J48">
            <v>2137577</v>
          </cell>
          <cell r="K48">
            <v>2193168</v>
          </cell>
          <cell r="L48">
            <v>2244466</v>
          </cell>
          <cell r="M48">
            <v>2294690</v>
          </cell>
          <cell r="N48">
            <v>2365090</v>
          </cell>
          <cell r="O48">
            <v>2543148</v>
          </cell>
          <cell r="P48">
            <v>2915192</v>
          </cell>
          <cell r="T48">
            <v>45</v>
          </cell>
          <cell r="U48" t="str">
            <v>Residential</v>
          </cell>
          <cell r="X48">
            <v>539319</v>
          </cell>
          <cell r="Y48">
            <v>1228277</v>
          </cell>
          <cell r="Z48">
            <v>1767782</v>
          </cell>
          <cell r="AA48">
            <v>2050615</v>
          </cell>
          <cell r="AB48">
            <v>2145484</v>
          </cell>
          <cell r="AC48">
            <v>2206563</v>
          </cell>
          <cell r="AD48">
            <v>2254847</v>
          </cell>
          <cell r="AE48">
            <v>2299518</v>
          </cell>
          <cell r="AF48">
            <v>2347076</v>
          </cell>
          <cell r="AG48">
            <v>2404901</v>
          </cell>
          <cell r="AH48">
            <v>2632368</v>
          </cell>
          <cell r="AI48">
            <v>3079584</v>
          </cell>
        </row>
        <row r="49">
          <cell r="A49">
            <v>46</v>
          </cell>
          <cell r="B49" t="str">
            <v>Commercial</v>
          </cell>
          <cell r="E49">
            <v>360452</v>
          </cell>
          <cell r="F49">
            <v>707011</v>
          </cell>
          <cell r="G49">
            <v>987064</v>
          </cell>
          <cell r="H49">
            <v>1183845</v>
          </cell>
          <cell r="I49">
            <v>1326963</v>
          </cell>
          <cell r="J49">
            <v>1428759</v>
          </cell>
          <cell r="K49">
            <v>1514215</v>
          </cell>
          <cell r="L49">
            <v>1594888</v>
          </cell>
          <cell r="M49">
            <v>1687187</v>
          </cell>
          <cell r="N49">
            <v>1806288</v>
          </cell>
          <cell r="O49">
            <v>1972588</v>
          </cell>
          <cell r="P49">
            <v>2252163</v>
          </cell>
          <cell r="T49">
            <v>46</v>
          </cell>
          <cell r="U49" t="str">
            <v>Commercial</v>
          </cell>
          <cell r="X49">
            <v>365919</v>
          </cell>
          <cell r="Y49">
            <v>765559</v>
          </cell>
          <cell r="Z49">
            <v>1115359</v>
          </cell>
          <cell r="AA49">
            <v>1310091</v>
          </cell>
          <cell r="AB49">
            <v>1427429</v>
          </cell>
          <cell r="AC49">
            <v>1521507</v>
          </cell>
          <cell r="AD49">
            <v>1604475</v>
          </cell>
          <cell r="AE49">
            <v>1688851</v>
          </cell>
          <cell r="AF49">
            <v>1777813</v>
          </cell>
          <cell r="AG49">
            <v>1886701</v>
          </cell>
          <cell r="AH49">
            <v>2090156</v>
          </cell>
          <cell r="AI49">
            <v>2416106</v>
          </cell>
        </row>
        <row r="50">
          <cell r="A50">
            <v>47</v>
          </cell>
          <cell r="B50" t="str">
            <v xml:space="preserve">Industrial </v>
          </cell>
          <cell r="E50">
            <v>295341</v>
          </cell>
          <cell r="F50">
            <v>574997</v>
          </cell>
          <cell r="G50">
            <v>848053</v>
          </cell>
          <cell r="H50">
            <v>1092094</v>
          </cell>
          <cell r="I50">
            <v>1317538</v>
          </cell>
          <cell r="J50">
            <v>1545128</v>
          </cell>
          <cell r="K50">
            <v>1758264</v>
          </cell>
          <cell r="L50">
            <v>1951776</v>
          </cell>
          <cell r="M50">
            <v>2191744</v>
          </cell>
          <cell r="N50">
            <v>2488723</v>
          </cell>
          <cell r="O50">
            <v>2718982</v>
          </cell>
          <cell r="P50">
            <v>2994046</v>
          </cell>
          <cell r="T50">
            <v>47</v>
          </cell>
          <cell r="U50" t="str">
            <v xml:space="preserve">Industrial </v>
          </cell>
          <cell r="X50">
            <v>314715</v>
          </cell>
          <cell r="Y50">
            <v>615161</v>
          </cell>
          <cell r="Z50">
            <v>929405</v>
          </cell>
          <cell r="AA50">
            <v>1192607</v>
          </cell>
          <cell r="AB50">
            <v>1442696</v>
          </cell>
          <cell r="AC50">
            <v>1668806</v>
          </cell>
          <cell r="AD50">
            <v>1895002</v>
          </cell>
          <cell r="AE50">
            <v>2129963</v>
          </cell>
          <cell r="AF50">
            <v>2388900</v>
          </cell>
          <cell r="AG50">
            <v>2653489</v>
          </cell>
          <cell r="AH50">
            <v>2914259</v>
          </cell>
          <cell r="AI50">
            <v>3192279</v>
          </cell>
        </row>
        <row r="51">
          <cell r="A51">
            <v>48</v>
          </cell>
          <cell r="B51" t="str">
            <v>Other</v>
          </cell>
          <cell r="E51">
            <v>27736</v>
          </cell>
          <cell r="F51">
            <v>53901</v>
          </cell>
          <cell r="G51">
            <v>76914</v>
          </cell>
          <cell r="H51">
            <v>99454</v>
          </cell>
          <cell r="I51">
            <v>119495</v>
          </cell>
          <cell r="J51">
            <v>142983</v>
          </cell>
          <cell r="K51">
            <v>162316</v>
          </cell>
          <cell r="L51">
            <v>178109</v>
          </cell>
          <cell r="M51">
            <v>196076</v>
          </cell>
          <cell r="N51">
            <v>218856</v>
          </cell>
          <cell r="O51">
            <v>241379</v>
          </cell>
          <cell r="P51">
            <v>270013</v>
          </cell>
          <cell r="T51">
            <v>48</v>
          </cell>
          <cell r="U51" t="str">
            <v>Other</v>
          </cell>
          <cell r="X51">
            <v>7661</v>
          </cell>
          <cell r="Y51">
            <v>12642</v>
          </cell>
          <cell r="Z51">
            <v>17859</v>
          </cell>
          <cell r="AA51">
            <v>44368</v>
          </cell>
          <cell r="AB51">
            <v>62750</v>
          </cell>
          <cell r="AC51">
            <v>78371</v>
          </cell>
          <cell r="AD51">
            <v>94558</v>
          </cell>
          <cell r="AE51">
            <v>116515</v>
          </cell>
          <cell r="AF51">
            <v>138006</v>
          </cell>
          <cell r="AG51">
            <v>162804</v>
          </cell>
          <cell r="AH51">
            <v>187762</v>
          </cell>
          <cell r="AI51">
            <v>220538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1245495</v>
          </cell>
          <cell r="F52">
            <v>2430724</v>
          </cell>
          <cell r="G52">
            <v>3447140</v>
          </cell>
          <cell r="H52">
            <v>4193936</v>
          </cell>
          <cell r="I52">
            <v>4808553</v>
          </cell>
          <cell r="J52">
            <v>5254447</v>
          </cell>
          <cell r="K52">
            <v>5627963</v>
          </cell>
          <cell r="L52">
            <v>5969239</v>
          </cell>
          <cell r="M52">
            <v>6369697</v>
          </cell>
          <cell r="N52">
            <v>6878957</v>
          </cell>
          <cell r="O52">
            <v>7476097</v>
          </cell>
          <cell r="P52">
            <v>8431414</v>
          </cell>
          <cell r="T52">
            <v>49</v>
          </cell>
          <cell r="U52" t="str">
            <v>Total Volume</v>
          </cell>
          <cell r="W52">
            <v>0</v>
          </cell>
          <cell r="X52">
            <v>1227614</v>
          </cell>
          <cell r="Y52">
            <v>2621639</v>
          </cell>
          <cell r="Z52">
            <v>3830405</v>
          </cell>
          <cell r="AA52">
            <v>4597681</v>
          </cell>
          <cell r="AB52">
            <v>5078359</v>
          </cell>
          <cell r="AC52">
            <v>5475247</v>
          </cell>
          <cell r="AD52">
            <v>5848882</v>
          </cell>
          <cell r="AE52">
            <v>6234847</v>
          </cell>
          <cell r="AF52">
            <v>6651795</v>
          </cell>
          <cell r="AG52">
            <v>7107895</v>
          </cell>
          <cell r="AH52">
            <v>7824545</v>
          </cell>
          <cell r="AI52">
            <v>8908507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59335</v>
          </cell>
          <cell r="F55">
            <v>59404</v>
          </cell>
          <cell r="G55">
            <v>59469</v>
          </cell>
          <cell r="H55">
            <v>59474</v>
          </cell>
          <cell r="I55">
            <v>59457</v>
          </cell>
          <cell r="J55">
            <v>59453</v>
          </cell>
          <cell r="K55">
            <v>59487</v>
          </cell>
          <cell r="L55">
            <v>59552</v>
          </cell>
          <cell r="M55">
            <v>59647</v>
          </cell>
          <cell r="N55">
            <v>59794</v>
          </cell>
          <cell r="O55">
            <v>59990</v>
          </cell>
          <cell r="P55">
            <v>60195</v>
          </cell>
        </row>
        <row r="56">
          <cell r="A56">
            <v>53</v>
          </cell>
          <cell r="B56" t="str">
            <v>Cumulative Budget YTD Volume (Mcfs)</v>
          </cell>
          <cell r="E56">
            <v>1320152.7746720577</v>
          </cell>
          <cell r="F56">
            <v>2681269.0800961638</v>
          </cell>
          <cell r="G56">
            <v>3843806.5184483463</v>
          </cell>
          <cell r="H56">
            <v>4654277.0720780268</v>
          </cell>
          <cell r="I56">
            <v>5195240.2581343865</v>
          </cell>
          <cell r="J56">
            <v>5600069.1666427543</v>
          </cell>
          <cell r="K56">
            <v>5946126.949168263</v>
          </cell>
          <cell r="L56">
            <v>6316389.4204712315</v>
          </cell>
          <cell r="M56">
            <v>6692729.8230942031</v>
          </cell>
          <cell r="N56">
            <v>7225997.0373413349</v>
          </cell>
          <cell r="O56">
            <v>8008595.3460468967</v>
          </cell>
          <cell r="P56">
            <v>9126020.7426007818</v>
          </cell>
        </row>
        <row r="57">
          <cell r="A57">
            <v>54</v>
          </cell>
          <cell r="B57" t="str">
            <v>Cumulative YTD Budget Volume (Dts) * 1.035</v>
          </cell>
          <cell r="E57">
            <v>1366358.1217855797</v>
          </cell>
          <cell r="F57">
            <v>2775113.4978995291</v>
          </cell>
          <cell r="G57">
            <v>3978339.7465940379</v>
          </cell>
          <cell r="H57">
            <v>4817176.7696007565</v>
          </cell>
          <cell r="I57">
            <v>5377073.6671690885</v>
          </cell>
          <cell r="J57">
            <v>5796071.5874752486</v>
          </cell>
          <cell r="K57">
            <v>6154241.3923891503</v>
          </cell>
          <cell r="L57">
            <v>6537463.0501877228</v>
          </cell>
          <cell r="M57">
            <v>6926975.3669024985</v>
          </cell>
          <cell r="N57">
            <v>7478906.9336482799</v>
          </cell>
          <cell r="O57">
            <v>8288896.1831585364</v>
          </cell>
          <cell r="P57">
            <v>9445431.4685918074</v>
          </cell>
        </row>
      </sheetData>
      <sheetData sheetId="12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11477.666666666666</v>
          </cell>
          <cell r="E5">
            <v>11444</v>
          </cell>
          <cell r="F5">
            <v>11489</v>
          </cell>
          <cell r="G5">
            <v>11487</v>
          </cell>
          <cell r="H5">
            <v>11467</v>
          </cell>
          <cell r="I5">
            <v>11458</v>
          </cell>
          <cell r="J5">
            <v>11454</v>
          </cell>
          <cell r="K5">
            <v>11439</v>
          </cell>
          <cell r="L5">
            <v>11427</v>
          </cell>
          <cell r="M5">
            <v>11462</v>
          </cell>
          <cell r="N5">
            <v>11483</v>
          </cell>
          <cell r="O5">
            <v>11523</v>
          </cell>
          <cell r="P5">
            <v>11599</v>
          </cell>
          <cell r="T5">
            <v>2</v>
          </cell>
          <cell r="U5" t="str">
            <v>Residential</v>
          </cell>
          <cell r="V5">
            <v>11119</v>
          </cell>
          <cell r="W5">
            <v>133429</v>
          </cell>
          <cell r="X5">
            <v>11334</v>
          </cell>
          <cell r="Y5">
            <v>11381</v>
          </cell>
          <cell r="Z5">
            <v>11352</v>
          </cell>
          <cell r="AA5">
            <v>11320</v>
          </cell>
          <cell r="AB5">
            <v>11103</v>
          </cell>
          <cell r="AC5">
            <v>10916</v>
          </cell>
          <cell r="AD5">
            <v>10908</v>
          </cell>
          <cell r="AE5">
            <v>10855</v>
          </cell>
          <cell r="AF5">
            <v>10882</v>
          </cell>
          <cell r="AG5">
            <v>10910</v>
          </cell>
          <cell r="AH5">
            <v>11088</v>
          </cell>
          <cell r="AI5">
            <v>11380</v>
          </cell>
        </row>
        <row r="6">
          <cell r="A6">
            <v>3</v>
          </cell>
          <cell r="B6" t="str">
            <v>Commercial</v>
          </cell>
          <cell r="D6">
            <v>1925.5</v>
          </cell>
          <cell r="E6">
            <v>1928</v>
          </cell>
          <cell r="F6">
            <v>1933</v>
          </cell>
          <cell r="G6">
            <v>1933</v>
          </cell>
          <cell r="H6">
            <v>1933</v>
          </cell>
          <cell r="I6">
            <v>1928</v>
          </cell>
          <cell r="J6">
            <v>1923</v>
          </cell>
          <cell r="K6">
            <v>1915</v>
          </cell>
          <cell r="L6">
            <v>1912</v>
          </cell>
          <cell r="M6">
            <v>1914</v>
          </cell>
          <cell r="N6">
            <v>1917</v>
          </cell>
          <cell r="O6">
            <v>1931</v>
          </cell>
          <cell r="P6">
            <v>1939</v>
          </cell>
          <cell r="T6">
            <v>3</v>
          </cell>
          <cell r="U6" t="str">
            <v>Commercial</v>
          </cell>
          <cell r="V6">
            <v>1897</v>
          </cell>
          <cell r="W6">
            <v>22761</v>
          </cell>
          <cell r="X6">
            <v>1911</v>
          </cell>
          <cell r="Y6">
            <v>1918</v>
          </cell>
          <cell r="Z6">
            <v>1921</v>
          </cell>
          <cell r="AA6">
            <v>1907</v>
          </cell>
          <cell r="AB6">
            <v>1890</v>
          </cell>
          <cell r="AC6">
            <v>1880</v>
          </cell>
          <cell r="AD6">
            <v>1877</v>
          </cell>
          <cell r="AE6">
            <v>1879</v>
          </cell>
          <cell r="AF6">
            <v>1875</v>
          </cell>
          <cell r="AG6">
            <v>1881</v>
          </cell>
          <cell r="AH6">
            <v>1896</v>
          </cell>
          <cell r="AI6">
            <v>1926</v>
          </cell>
        </row>
        <row r="7">
          <cell r="A7">
            <v>4</v>
          </cell>
          <cell r="B7" t="str">
            <v xml:space="preserve">Industrial </v>
          </cell>
          <cell r="D7">
            <v>45.416666666666664</v>
          </cell>
          <cell r="E7">
            <v>47</v>
          </cell>
          <cell r="F7">
            <v>45</v>
          </cell>
          <cell r="G7">
            <v>45</v>
          </cell>
          <cell r="H7">
            <v>45</v>
          </cell>
          <cell r="I7">
            <v>45</v>
          </cell>
          <cell r="J7">
            <v>45</v>
          </cell>
          <cell r="K7">
            <v>45</v>
          </cell>
          <cell r="L7">
            <v>45</v>
          </cell>
          <cell r="M7">
            <v>45</v>
          </cell>
          <cell r="N7">
            <v>46</v>
          </cell>
          <cell r="O7">
            <v>46</v>
          </cell>
          <cell r="P7">
            <v>46</v>
          </cell>
          <cell r="T7">
            <v>4</v>
          </cell>
          <cell r="U7" t="str">
            <v xml:space="preserve">Industrial </v>
          </cell>
          <cell r="V7">
            <v>46</v>
          </cell>
          <cell r="W7">
            <v>547</v>
          </cell>
          <cell r="X7">
            <v>45</v>
          </cell>
          <cell r="Y7">
            <v>46</v>
          </cell>
          <cell r="Z7">
            <v>46</v>
          </cell>
          <cell r="AA7">
            <v>47</v>
          </cell>
          <cell r="AB7">
            <v>47</v>
          </cell>
          <cell r="AC7">
            <v>45</v>
          </cell>
          <cell r="AD7">
            <v>45</v>
          </cell>
          <cell r="AE7">
            <v>45</v>
          </cell>
          <cell r="AF7">
            <v>45</v>
          </cell>
          <cell r="AG7">
            <v>45</v>
          </cell>
          <cell r="AH7">
            <v>45</v>
          </cell>
          <cell r="AI7">
            <v>46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13448.583333333332</v>
          </cell>
          <cell r="E9">
            <v>13419</v>
          </cell>
          <cell r="F9">
            <v>13467</v>
          </cell>
          <cell r="G9">
            <v>13465</v>
          </cell>
          <cell r="H9">
            <v>13445</v>
          </cell>
          <cell r="I9">
            <v>13431</v>
          </cell>
          <cell r="J9">
            <v>13422</v>
          </cell>
          <cell r="K9">
            <v>13399</v>
          </cell>
          <cell r="L9">
            <v>13384</v>
          </cell>
          <cell r="M9">
            <v>13421</v>
          </cell>
          <cell r="N9">
            <v>13446</v>
          </cell>
          <cell r="O9">
            <v>13500</v>
          </cell>
          <cell r="P9">
            <v>13584</v>
          </cell>
          <cell r="T9">
            <v>6</v>
          </cell>
          <cell r="U9" t="str">
            <v>Total customers</v>
          </cell>
          <cell r="V9">
            <v>13062</v>
          </cell>
          <cell r="W9">
            <v>156737</v>
          </cell>
          <cell r="X9">
            <v>13290</v>
          </cell>
          <cell r="Y9">
            <v>13345</v>
          </cell>
          <cell r="Z9">
            <v>13319</v>
          </cell>
          <cell r="AA9">
            <v>13274</v>
          </cell>
          <cell r="AB9">
            <v>13040</v>
          </cell>
          <cell r="AC9">
            <v>12841</v>
          </cell>
          <cell r="AD9">
            <v>12830</v>
          </cell>
          <cell r="AE9">
            <v>12779</v>
          </cell>
          <cell r="AF9">
            <v>12802</v>
          </cell>
          <cell r="AG9">
            <v>12836</v>
          </cell>
          <cell r="AH9">
            <v>13029</v>
          </cell>
          <cell r="AI9">
            <v>13352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- 2020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- 2019 -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461295</v>
          </cell>
          <cell r="E12">
            <v>87627</v>
          </cell>
          <cell r="F12">
            <v>86331</v>
          </cell>
          <cell r="G12">
            <v>74257</v>
          </cell>
          <cell r="H12">
            <v>45942</v>
          </cell>
          <cell r="I12">
            <v>30570</v>
          </cell>
          <cell r="J12">
            <v>15363</v>
          </cell>
          <cell r="K12">
            <v>9369</v>
          </cell>
          <cell r="L12">
            <v>8423</v>
          </cell>
          <cell r="M12">
            <v>8862</v>
          </cell>
          <cell r="N12">
            <v>8862</v>
          </cell>
          <cell r="O12">
            <v>26469</v>
          </cell>
          <cell r="P12">
            <v>59220</v>
          </cell>
          <cell r="T12">
            <v>9</v>
          </cell>
          <cell r="U12" t="str">
            <v>Residential</v>
          </cell>
          <cell r="W12">
            <v>517026</v>
          </cell>
          <cell r="X12">
            <v>93133</v>
          </cell>
          <cell r="Y12">
            <v>109372</v>
          </cell>
          <cell r="Z12">
            <v>94753</v>
          </cell>
          <cell r="AA12">
            <v>50208</v>
          </cell>
          <cell r="AB12">
            <v>15470</v>
          </cell>
          <cell r="AC12">
            <v>9690</v>
          </cell>
          <cell r="AD12">
            <v>8015</v>
          </cell>
          <cell r="AE12">
            <v>7530</v>
          </cell>
          <cell r="AF12">
            <v>8409</v>
          </cell>
          <cell r="AG12">
            <v>10158</v>
          </cell>
          <cell r="AH12">
            <v>36511</v>
          </cell>
          <cell r="AI12">
            <v>73777</v>
          </cell>
        </row>
        <row r="13">
          <cell r="A13">
            <v>10</v>
          </cell>
          <cell r="B13" t="str">
            <v>Commercial</v>
          </cell>
          <cell r="C13">
            <v>1016817</v>
          </cell>
          <cell r="E13">
            <v>201878</v>
          </cell>
          <cell r="F13">
            <v>128142</v>
          </cell>
          <cell r="G13">
            <v>111807</v>
          </cell>
          <cell r="H13">
            <v>78298</v>
          </cell>
          <cell r="I13">
            <v>58538</v>
          </cell>
          <cell r="J13">
            <v>46509</v>
          </cell>
          <cell r="K13">
            <v>49098</v>
          </cell>
          <cell r="L13">
            <v>45211</v>
          </cell>
          <cell r="M13">
            <v>49952</v>
          </cell>
          <cell r="N13">
            <v>49952</v>
          </cell>
          <cell r="O13">
            <v>72285</v>
          </cell>
          <cell r="P13">
            <v>125147</v>
          </cell>
          <cell r="T13">
            <v>10</v>
          </cell>
          <cell r="U13" t="str">
            <v>Commercial</v>
          </cell>
          <cell r="W13">
            <v>1036585</v>
          </cell>
          <cell r="X13">
            <v>150035</v>
          </cell>
          <cell r="Y13">
            <v>148120</v>
          </cell>
          <cell r="Z13">
            <v>134246</v>
          </cell>
          <cell r="AA13">
            <v>85915</v>
          </cell>
          <cell r="AB13">
            <v>62023</v>
          </cell>
          <cell r="AC13">
            <v>47146</v>
          </cell>
          <cell r="AD13">
            <v>47510</v>
          </cell>
          <cell r="AE13">
            <v>42293</v>
          </cell>
          <cell r="AF13">
            <v>49291</v>
          </cell>
          <cell r="AG13">
            <v>56412</v>
          </cell>
          <cell r="AH13">
            <v>86133</v>
          </cell>
          <cell r="AI13">
            <v>127461</v>
          </cell>
        </row>
        <row r="14">
          <cell r="A14">
            <v>11</v>
          </cell>
          <cell r="B14" t="str">
            <v xml:space="preserve">Industrial </v>
          </cell>
          <cell r="C14">
            <v>1701965</v>
          </cell>
          <cell r="E14">
            <v>104938</v>
          </cell>
          <cell r="F14">
            <v>143526</v>
          </cell>
          <cell r="G14">
            <v>150583</v>
          </cell>
          <cell r="H14">
            <v>151616</v>
          </cell>
          <cell r="I14">
            <v>136384</v>
          </cell>
          <cell r="J14">
            <v>141912</v>
          </cell>
          <cell r="K14">
            <v>140030</v>
          </cell>
          <cell r="L14">
            <v>126181</v>
          </cell>
          <cell r="M14">
            <v>135739</v>
          </cell>
          <cell r="N14">
            <v>135739</v>
          </cell>
          <cell r="O14">
            <v>149114</v>
          </cell>
          <cell r="P14">
            <v>186203</v>
          </cell>
          <cell r="T14">
            <v>11</v>
          </cell>
          <cell r="U14" t="str">
            <v xml:space="preserve">Industrial </v>
          </cell>
          <cell r="W14">
            <v>1772583</v>
          </cell>
          <cell r="X14">
            <v>166151</v>
          </cell>
          <cell r="Y14">
            <v>152731</v>
          </cell>
          <cell r="Z14">
            <v>161594</v>
          </cell>
          <cell r="AA14">
            <v>140926</v>
          </cell>
          <cell r="AB14">
            <v>117815</v>
          </cell>
          <cell r="AC14">
            <v>124663</v>
          </cell>
          <cell r="AD14">
            <v>138652</v>
          </cell>
          <cell r="AE14">
            <v>142014</v>
          </cell>
          <cell r="AF14">
            <v>136086</v>
          </cell>
          <cell r="AG14">
            <v>168238</v>
          </cell>
          <cell r="AH14">
            <v>158134</v>
          </cell>
          <cell r="AI14">
            <v>165579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</row>
        <row r="16">
          <cell r="A16">
            <v>13</v>
          </cell>
          <cell r="B16" t="str">
            <v>Total Volume</v>
          </cell>
          <cell r="C16">
            <v>3180077</v>
          </cell>
          <cell r="E16">
            <v>394443</v>
          </cell>
          <cell r="F16">
            <v>357999</v>
          </cell>
          <cell r="G16">
            <v>336647</v>
          </cell>
          <cell r="H16">
            <v>275856</v>
          </cell>
          <cell r="I16">
            <v>225492</v>
          </cell>
          <cell r="J16">
            <v>203784</v>
          </cell>
          <cell r="K16">
            <v>198497</v>
          </cell>
          <cell r="L16">
            <v>179815</v>
          </cell>
          <cell r="M16">
            <v>194553</v>
          </cell>
          <cell r="N16">
            <v>194553</v>
          </cell>
          <cell r="O16">
            <v>247868</v>
          </cell>
          <cell r="P16">
            <v>370570</v>
          </cell>
          <cell r="T16">
            <v>13</v>
          </cell>
          <cell r="U16" t="str">
            <v>Total Deliveries</v>
          </cell>
          <cell r="W16">
            <v>3326194</v>
          </cell>
          <cell r="X16">
            <v>409319</v>
          </cell>
          <cell r="Y16">
            <v>410223</v>
          </cell>
          <cell r="Z16">
            <v>390593</v>
          </cell>
          <cell r="AA16">
            <v>277049</v>
          </cell>
          <cell r="AB16">
            <v>195308</v>
          </cell>
          <cell r="AC16">
            <v>181499</v>
          </cell>
          <cell r="AD16">
            <v>194177</v>
          </cell>
          <cell r="AE16">
            <v>191837</v>
          </cell>
          <cell r="AF16">
            <v>193786</v>
          </cell>
          <cell r="AG16">
            <v>234808</v>
          </cell>
          <cell r="AH16">
            <v>280778</v>
          </cell>
          <cell r="AI16">
            <v>366817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1.036532</v>
          </cell>
          <cell r="F18">
            <v>1.0381069999999999</v>
          </cell>
          <cell r="G18">
            <v>1.03756</v>
          </cell>
          <cell r="H18">
            <v>1.038702</v>
          </cell>
          <cell r="I18">
            <v>1.0374890000000001</v>
          </cell>
          <cell r="J18">
            <v>1.0361590000000001</v>
          </cell>
          <cell r="K18">
            <v>1.0339069999999999</v>
          </cell>
          <cell r="L18">
            <v>1.0337160000000001</v>
          </cell>
          <cell r="M18">
            <v>1.0382199999999999</v>
          </cell>
          <cell r="N18">
            <v>1.0341530000000001</v>
          </cell>
          <cell r="O18">
            <v>1.037547</v>
          </cell>
          <cell r="P18">
            <v>1.039072</v>
          </cell>
          <cell r="T18">
            <v>15</v>
          </cell>
          <cell r="X18">
            <v>1.0446409999999999</v>
          </cell>
          <cell r="Y18">
            <v>1.043005</v>
          </cell>
          <cell r="Z18">
            <v>1.042327</v>
          </cell>
          <cell r="AA18">
            <v>1.040551</v>
          </cell>
          <cell r="AB18">
            <v>1.039137</v>
          </cell>
          <cell r="AC18">
            <v>1.0389269999999999</v>
          </cell>
          <cell r="AD18">
            <v>1.0397700000000001</v>
          </cell>
          <cell r="AE18">
            <v>1.0451280000000001</v>
          </cell>
          <cell r="AF18">
            <v>1.038249</v>
          </cell>
          <cell r="AG18">
            <v>1.0398369999999999</v>
          </cell>
          <cell r="AH18">
            <v>1.0389200000000001</v>
          </cell>
          <cell r="AI18">
            <v>1.034735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- 2020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- 2019 -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478607</v>
          </cell>
          <cell r="E21">
            <v>90828</v>
          </cell>
          <cell r="F21">
            <v>89621</v>
          </cell>
          <cell r="G21">
            <v>77046</v>
          </cell>
          <cell r="H21">
            <v>47720</v>
          </cell>
          <cell r="I21">
            <v>31716</v>
          </cell>
          <cell r="J21">
            <v>15919</v>
          </cell>
          <cell r="K21">
            <v>9687</v>
          </cell>
          <cell r="L21">
            <v>8707</v>
          </cell>
          <cell r="M21">
            <v>9201</v>
          </cell>
          <cell r="N21">
            <v>9165</v>
          </cell>
          <cell r="O21">
            <v>27463</v>
          </cell>
          <cell r="P21">
            <v>61534</v>
          </cell>
          <cell r="T21">
            <v>18</v>
          </cell>
          <cell r="U21" t="str">
            <v>Residential</v>
          </cell>
          <cell r="W21">
            <v>538287</v>
          </cell>
          <cell r="X21">
            <v>97291</v>
          </cell>
          <cell r="Y21">
            <v>114076</v>
          </cell>
          <cell r="Z21">
            <v>98764</v>
          </cell>
          <cell r="AA21">
            <v>52244</v>
          </cell>
          <cell r="AB21">
            <v>16075</v>
          </cell>
          <cell r="AC21">
            <v>10067</v>
          </cell>
          <cell r="AD21">
            <v>8334</v>
          </cell>
          <cell r="AE21">
            <v>7870</v>
          </cell>
          <cell r="AF21">
            <v>8731</v>
          </cell>
          <cell r="AG21">
            <v>10563</v>
          </cell>
          <cell r="AH21">
            <v>37932</v>
          </cell>
          <cell r="AI21">
            <v>76340</v>
          </cell>
        </row>
        <row r="22">
          <cell r="A22">
            <v>19</v>
          </cell>
          <cell r="B22" t="str">
            <v>Commercial</v>
          </cell>
          <cell r="D22">
            <v>1054589</v>
          </cell>
          <cell r="E22">
            <v>209253</v>
          </cell>
          <cell r="F22">
            <v>133025</v>
          </cell>
          <cell r="G22">
            <v>116006</v>
          </cell>
          <cell r="H22">
            <v>81328</v>
          </cell>
          <cell r="I22">
            <v>60733</v>
          </cell>
          <cell r="J22">
            <v>48191</v>
          </cell>
          <cell r="K22">
            <v>50763</v>
          </cell>
          <cell r="L22">
            <v>46735</v>
          </cell>
          <cell r="M22">
            <v>51861</v>
          </cell>
          <cell r="N22">
            <v>51658</v>
          </cell>
          <cell r="O22">
            <v>74999</v>
          </cell>
          <cell r="P22">
            <v>130037</v>
          </cell>
          <cell r="T22">
            <v>19</v>
          </cell>
          <cell r="U22" t="str">
            <v>Commercial</v>
          </cell>
          <cell r="W22">
            <v>1078790</v>
          </cell>
          <cell r="X22">
            <v>156733</v>
          </cell>
          <cell r="Y22">
            <v>154490</v>
          </cell>
          <cell r="Z22">
            <v>139928</v>
          </cell>
          <cell r="AA22">
            <v>89399</v>
          </cell>
          <cell r="AB22">
            <v>64450</v>
          </cell>
          <cell r="AC22">
            <v>48981</v>
          </cell>
          <cell r="AD22">
            <v>49399</v>
          </cell>
          <cell r="AE22">
            <v>44202</v>
          </cell>
          <cell r="AF22">
            <v>51176</v>
          </cell>
          <cell r="AG22">
            <v>58659</v>
          </cell>
          <cell r="AH22">
            <v>89485</v>
          </cell>
          <cell r="AI22">
            <v>131888</v>
          </cell>
        </row>
        <row r="23">
          <cell r="A23">
            <v>20</v>
          </cell>
          <cell r="B23" t="str">
            <v xml:space="preserve">Industrial </v>
          </cell>
          <cell r="D23">
            <v>1764736</v>
          </cell>
          <cell r="E23">
            <v>108772</v>
          </cell>
          <cell r="F23">
            <v>148995</v>
          </cell>
          <cell r="G23">
            <v>156239</v>
          </cell>
          <cell r="H23">
            <v>157484</v>
          </cell>
          <cell r="I23">
            <v>141497</v>
          </cell>
          <cell r="J23">
            <v>147043</v>
          </cell>
          <cell r="K23">
            <v>144778</v>
          </cell>
          <cell r="L23">
            <v>130435</v>
          </cell>
          <cell r="M23">
            <v>140927</v>
          </cell>
          <cell r="N23">
            <v>140375</v>
          </cell>
          <cell r="O23">
            <v>154713</v>
          </cell>
          <cell r="P23">
            <v>193478</v>
          </cell>
          <cell r="T23">
            <v>20</v>
          </cell>
          <cell r="U23" t="str">
            <v xml:space="preserve">Industrial </v>
          </cell>
          <cell r="W23">
            <v>1844323</v>
          </cell>
          <cell r="X23">
            <v>173568</v>
          </cell>
          <cell r="Y23">
            <v>159299</v>
          </cell>
          <cell r="Z23">
            <v>168434</v>
          </cell>
          <cell r="AA23">
            <v>146641</v>
          </cell>
          <cell r="AB23">
            <v>122426</v>
          </cell>
          <cell r="AC23">
            <v>129516</v>
          </cell>
          <cell r="AD23">
            <v>144166</v>
          </cell>
          <cell r="AE23">
            <v>148423</v>
          </cell>
          <cell r="AF23">
            <v>141291</v>
          </cell>
          <cell r="AG23">
            <v>174940</v>
          </cell>
          <cell r="AH23">
            <v>164289</v>
          </cell>
          <cell r="AI23">
            <v>171330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3297932</v>
          </cell>
          <cell r="E25">
            <v>408853</v>
          </cell>
          <cell r="F25">
            <v>371641</v>
          </cell>
          <cell r="G25">
            <v>349291</v>
          </cell>
          <cell r="H25">
            <v>286532</v>
          </cell>
          <cell r="I25">
            <v>233946</v>
          </cell>
          <cell r="J25">
            <v>211153</v>
          </cell>
          <cell r="K25">
            <v>205228</v>
          </cell>
          <cell r="L25">
            <v>185877</v>
          </cell>
          <cell r="M25">
            <v>201989</v>
          </cell>
          <cell r="N25">
            <v>201198</v>
          </cell>
          <cell r="O25">
            <v>257175</v>
          </cell>
          <cell r="P25">
            <v>385049</v>
          </cell>
          <cell r="T25">
            <v>22</v>
          </cell>
          <cell r="U25" t="str">
            <v>Total Deliveries</v>
          </cell>
          <cell r="W25">
            <v>3461400</v>
          </cell>
          <cell r="X25">
            <v>427592</v>
          </cell>
          <cell r="Y25">
            <v>427865</v>
          </cell>
          <cell r="Z25">
            <v>407126</v>
          </cell>
          <cell r="AA25">
            <v>288284</v>
          </cell>
          <cell r="AB25">
            <v>202951</v>
          </cell>
          <cell r="AC25">
            <v>188564</v>
          </cell>
          <cell r="AD25">
            <v>201899</v>
          </cell>
          <cell r="AE25">
            <v>200495</v>
          </cell>
          <cell r="AF25">
            <v>201198</v>
          </cell>
          <cell r="AG25">
            <v>244162</v>
          </cell>
          <cell r="AH25">
            <v>291706</v>
          </cell>
          <cell r="AI25">
            <v>379558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13538</v>
          </cell>
          <cell r="F28">
            <v>13610</v>
          </cell>
          <cell r="G28">
            <v>13645</v>
          </cell>
          <cell r="H28">
            <v>13556</v>
          </cell>
          <cell r="I28">
            <v>13377</v>
          </cell>
          <cell r="J28">
            <v>13153</v>
          </cell>
          <cell r="K28">
            <v>13074</v>
          </cell>
          <cell r="L28">
            <v>12989</v>
          </cell>
          <cell r="M28">
            <v>12956</v>
          </cell>
          <cell r="N28">
            <v>13123</v>
          </cell>
          <cell r="O28">
            <v>13338</v>
          </cell>
          <cell r="P28">
            <v>13628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438678.95732902089</v>
          </cell>
          <cell r="F29">
            <v>421678.29282302212</v>
          </cell>
          <cell r="G29">
            <v>391634.56654939067</v>
          </cell>
          <cell r="H29">
            <v>296664.59399432281</v>
          </cell>
          <cell r="I29">
            <v>217789.48441627959</v>
          </cell>
          <cell r="J29">
            <v>208127.18409415716</v>
          </cell>
          <cell r="K29">
            <v>181879.94980491637</v>
          </cell>
          <cell r="L29">
            <v>201581.36198049871</v>
          </cell>
          <cell r="M29">
            <v>190411.8309198608</v>
          </cell>
          <cell r="N29">
            <v>243989.12007800964</v>
          </cell>
          <cell r="O29">
            <v>306294.04791598592</v>
          </cell>
          <cell r="P29">
            <v>376888.48168649385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454032.7208355366</v>
          </cell>
          <cell r="F30">
            <v>436437.03307182784</v>
          </cell>
          <cell r="G30">
            <v>405341.77637861931</v>
          </cell>
          <cell r="H30">
            <v>307047.85478412407</v>
          </cell>
          <cell r="I30">
            <v>225412.11637084937</v>
          </cell>
          <cell r="J30">
            <v>215411.63553745265</v>
          </cell>
          <cell r="K30">
            <v>188245.74804808843</v>
          </cell>
          <cell r="L30">
            <v>208636.70964981616</v>
          </cell>
          <cell r="M30">
            <v>197076.24500205592</v>
          </cell>
          <cell r="N30">
            <v>252528.73928073994</v>
          </cell>
          <cell r="O30">
            <v>317014.33959304541</v>
          </cell>
          <cell r="P30">
            <v>390079.57854552113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11444</v>
          </cell>
          <cell r="F34">
            <v>11467</v>
          </cell>
          <cell r="G34">
            <v>11473</v>
          </cell>
          <cell r="H34">
            <v>11472</v>
          </cell>
          <cell r="I34">
            <v>11469</v>
          </cell>
          <cell r="J34">
            <v>11467</v>
          </cell>
          <cell r="K34">
            <v>11463</v>
          </cell>
          <cell r="L34">
            <v>11458</v>
          </cell>
          <cell r="M34">
            <v>11459</v>
          </cell>
          <cell r="N34">
            <v>11461</v>
          </cell>
          <cell r="O34">
            <v>11467</v>
          </cell>
          <cell r="P34">
            <v>11478</v>
          </cell>
          <cell r="T34">
            <v>31</v>
          </cell>
          <cell r="U34" t="str">
            <v>Residential</v>
          </cell>
          <cell r="X34">
            <v>11334</v>
          </cell>
          <cell r="Y34">
            <v>11358</v>
          </cell>
          <cell r="Z34">
            <v>11356</v>
          </cell>
          <cell r="AA34">
            <v>11347</v>
          </cell>
          <cell r="AB34">
            <v>11298</v>
          </cell>
          <cell r="AC34">
            <v>11234</v>
          </cell>
          <cell r="AD34">
            <v>11188</v>
          </cell>
          <cell r="AE34">
            <v>11146</v>
          </cell>
          <cell r="AF34">
            <v>11117</v>
          </cell>
          <cell r="AG34">
            <v>11096</v>
          </cell>
          <cell r="AH34">
            <v>11095</v>
          </cell>
          <cell r="AI34">
            <v>11119</v>
          </cell>
        </row>
        <row r="35">
          <cell r="A35">
            <v>32</v>
          </cell>
          <cell r="B35" t="str">
            <v>Commercial</v>
          </cell>
          <cell r="E35">
            <v>1928</v>
          </cell>
          <cell r="F35">
            <v>1931</v>
          </cell>
          <cell r="G35">
            <v>1931</v>
          </cell>
          <cell r="H35">
            <v>1932</v>
          </cell>
          <cell r="I35">
            <v>1931</v>
          </cell>
          <cell r="J35">
            <v>1930</v>
          </cell>
          <cell r="K35">
            <v>1928</v>
          </cell>
          <cell r="L35">
            <v>1926</v>
          </cell>
          <cell r="M35">
            <v>1924</v>
          </cell>
          <cell r="N35">
            <v>1924</v>
          </cell>
          <cell r="O35">
            <v>1924</v>
          </cell>
          <cell r="P35">
            <v>1926</v>
          </cell>
          <cell r="T35">
            <v>32</v>
          </cell>
          <cell r="U35" t="str">
            <v>Commercial</v>
          </cell>
          <cell r="X35">
            <v>1911</v>
          </cell>
          <cell r="Y35">
            <v>1915</v>
          </cell>
          <cell r="Z35">
            <v>1917</v>
          </cell>
          <cell r="AA35">
            <v>1914</v>
          </cell>
          <cell r="AB35">
            <v>1909</v>
          </cell>
          <cell r="AC35">
            <v>1905</v>
          </cell>
          <cell r="AD35">
            <v>1901</v>
          </cell>
          <cell r="AE35">
            <v>1898</v>
          </cell>
          <cell r="AF35">
            <v>1895</v>
          </cell>
          <cell r="AG35">
            <v>1894</v>
          </cell>
          <cell r="AH35">
            <v>1894</v>
          </cell>
          <cell r="AI35">
            <v>1897</v>
          </cell>
        </row>
        <row r="36">
          <cell r="A36">
            <v>33</v>
          </cell>
          <cell r="B36" t="str">
            <v xml:space="preserve">Industrial </v>
          </cell>
          <cell r="E36">
            <v>47</v>
          </cell>
          <cell r="F36">
            <v>46</v>
          </cell>
          <cell r="G36">
            <v>46</v>
          </cell>
          <cell r="H36">
            <v>46</v>
          </cell>
          <cell r="I36">
            <v>45</v>
          </cell>
          <cell r="J36">
            <v>45</v>
          </cell>
          <cell r="K36">
            <v>45</v>
          </cell>
          <cell r="L36">
            <v>45</v>
          </cell>
          <cell r="M36">
            <v>45</v>
          </cell>
          <cell r="N36">
            <v>45</v>
          </cell>
          <cell r="O36">
            <v>45</v>
          </cell>
          <cell r="P36">
            <v>45</v>
          </cell>
          <cell r="T36">
            <v>33</v>
          </cell>
          <cell r="U36" t="str">
            <v xml:space="preserve">Industrial </v>
          </cell>
          <cell r="X36">
            <v>45</v>
          </cell>
          <cell r="Y36">
            <v>46</v>
          </cell>
          <cell r="Z36">
            <v>46</v>
          </cell>
          <cell r="AA36">
            <v>46</v>
          </cell>
          <cell r="AB36">
            <v>46</v>
          </cell>
          <cell r="AC36">
            <v>46</v>
          </cell>
          <cell r="AD36">
            <v>46</v>
          </cell>
          <cell r="AE36">
            <v>46</v>
          </cell>
          <cell r="AF36">
            <v>46</v>
          </cell>
          <cell r="AG36">
            <v>46</v>
          </cell>
          <cell r="AH36">
            <v>46</v>
          </cell>
          <cell r="AI36">
            <v>46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13419</v>
          </cell>
          <cell r="F38">
            <v>13444</v>
          </cell>
          <cell r="G38">
            <v>13450</v>
          </cell>
          <cell r="H38">
            <v>13450</v>
          </cell>
          <cell r="I38">
            <v>13445</v>
          </cell>
          <cell r="J38">
            <v>13442</v>
          </cell>
          <cell r="K38">
            <v>13436</v>
          </cell>
          <cell r="L38">
            <v>13429</v>
          </cell>
          <cell r="M38">
            <v>13428</v>
          </cell>
          <cell r="N38">
            <v>13430</v>
          </cell>
          <cell r="O38">
            <v>13436</v>
          </cell>
          <cell r="P38">
            <v>13449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13290</v>
          </cell>
          <cell r="Y38">
            <v>13319</v>
          </cell>
          <cell r="Z38">
            <v>13319</v>
          </cell>
          <cell r="AA38">
            <v>13307</v>
          </cell>
          <cell r="AB38">
            <v>13253</v>
          </cell>
          <cell r="AC38">
            <v>13185</v>
          </cell>
          <cell r="AD38">
            <v>13135</v>
          </cell>
          <cell r="AE38">
            <v>13090</v>
          </cell>
          <cell r="AF38">
            <v>13058</v>
          </cell>
          <cell r="AG38">
            <v>13036</v>
          </cell>
          <cell r="AH38">
            <v>13035</v>
          </cell>
          <cell r="AI38">
            <v>13062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87627</v>
          </cell>
          <cell r="F41">
            <v>173958</v>
          </cell>
          <cell r="G41">
            <v>248215</v>
          </cell>
          <cell r="H41">
            <v>294157</v>
          </cell>
          <cell r="I41">
            <v>324727</v>
          </cell>
          <cell r="J41">
            <v>340090</v>
          </cell>
          <cell r="K41">
            <v>349459</v>
          </cell>
          <cell r="L41">
            <v>357882</v>
          </cell>
          <cell r="M41">
            <v>366744</v>
          </cell>
          <cell r="N41">
            <v>375606</v>
          </cell>
          <cell r="O41">
            <v>402075</v>
          </cell>
          <cell r="P41">
            <v>461295</v>
          </cell>
          <cell r="T41">
            <v>38</v>
          </cell>
          <cell r="U41" t="str">
            <v>Residential</v>
          </cell>
          <cell r="X41">
            <v>93133</v>
          </cell>
          <cell r="Y41">
            <v>202505</v>
          </cell>
          <cell r="Z41">
            <v>297258</v>
          </cell>
          <cell r="AA41">
            <v>347466</v>
          </cell>
          <cell r="AB41">
            <v>362936</v>
          </cell>
          <cell r="AC41">
            <v>372626</v>
          </cell>
          <cell r="AD41">
            <v>380641</v>
          </cell>
          <cell r="AE41">
            <v>388171</v>
          </cell>
          <cell r="AF41">
            <v>396580</v>
          </cell>
          <cell r="AG41">
            <v>406738</v>
          </cell>
          <cell r="AH41">
            <v>443249</v>
          </cell>
          <cell r="AI41">
            <v>517026</v>
          </cell>
        </row>
        <row r="42">
          <cell r="A42">
            <v>39</v>
          </cell>
          <cell r="B42" t="str">
            <v>Commercial</v>
          </cell>
          <cell r="E42">
            <v>201878</v>
          </cell>
          <cell r="F42">
            <v>330020</v>
          </cell>
          <cell r="G42">
            <v>441827</v>
          </cell>
          <cell r="H42">
            <v>520125</v>
          </cell>
          <cell r="I42">
            <v>578663</v>
          </cell>
          <cell r="J42">
            <v>625172</v>
          </cell>
          <cell r="K42">
            <v>674270</v>
          </cell>
          <cell r="L42">
            <v>719481</v>
          </cell>
          <cell r="M42">
            <v>769433</v>
          </cell>
          <cell r="N42">
            <v>819385</v>
          </cell>
          <cell r="O42">
            <v>891670</v>
          </cell>
          <cell r="P42">
            <v>1016817</v>
          </cell>
          <cell r="T42">
            <v>39</v>
          </cell>
          <cell r="U42" t="str">
            <v>Commercial</v>
          </cell>
          <cell r="X42">
            <v>150035</v>
          </cell>
          <cell r="Y42">
            <v>298155</v>
          </cell>
          <cell r="Z42">
            <v>432401</v>
          </cell>
          <cell r="AA42">
            <v>518316</v>
          </cell>
          <cell r="AB42">
            <v>580339</v>
          </cell>
          <cell r="AC42">
            <v>627485</v>
          </cell>
          <cell r="AD42">
            <v>674995</v>
          </cell>
          <cell r="AE42">
            <v>717288</v>
          </cell>
          <cell r="AF42">
            <v>766579</v>
          </cell>
          <cell r="AG42">
            <v>822991</v>
          </cell>
          <cell r="AH42">
            <v>909124</v>
          </cell>
          <cell r="AI42">
            <v>1036585</v>
          </cell>
        </row>
        <row r="43">
          <cell r="A43">
            <v>40</v>
          </cell>
          <cell r="B43" t="str">
            <v xml:space="preserve">Industrial </v>
          </cell>
          <cell r="E43">
            <v>104938</v>
          </cell>
          <cell r="F43">
            <v>248464</v>
          </cell>
          <cell r="G43">
            <v>399047</v>
          </cell>
          <cell r="H43">
            <v>550663</v>
          </cell>
          <cell r="I43">
            <v>687047</v>
          </cell>
          <cell r="J43">
            <v>828959</v>
          </cell>
          <cell r="K43">
            <v>968989</v>
          </cell>
          <cell r="L43">
            <v>1095170</v>
          </cell>
          <cell r="M43">
            <v>1230909</v>
          </cell>
          <cell r="N43">
            <v>1366648</v>
          </cell>
          <cell r="O43">
            <v>1515762</v>
          </cell>
          <cell r="P43">
            <v>1701965</v>
          </cell>
          <cell r="T43">
            <v>40</v>
          </cell>
          <cell r="U43" t="str">
            <v xml:space="preserve">Industrial </v>
          </cell>
          <cell r="X43">
            <v>166151</v>
          </cell>
          <cell r="Y43">
            <v>318882</v>
          </cell>
          <cell r="Z43">
            <v>480476</v>
          </cell>
          <cell r="AA43">
            <v>621402</v>
          </cell>
          <cell r="AB43">
            <v>739217</v>
          </cell>
          <cell r="AC43">
            <v>863880</v>
          </cell>
          <cell r="AD43">
            <v>1002532</v>
          </cell>
          <cell r="AE43">
            <v>1144546</v>
          </cell>
          <cell r="AF43">
            <v>1280632</v>
          </cell>
          <cell r="AG43">
            <v>1448870</v>
          </cell>
          <cell r="AH43">
            <v>1607004</v>
          </cell>
          <cell r="AI43">
            <v>1772583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394443</v>
          </cell>
          <cell r="F45">
            <v>752442</v>
          </cell>
          <cell r="G45">
            <v>1089089</v>
          </cell>
          <cell r="H45">
            <v>1364945</v>
          </cell>
          <cell r="I45">
            <v>1590437</v>
          </cell>
          <cell r="J45">
            <v>1794221</v>
          </cell>
          <cell r="K45">
            <v>1992718</v>
          </cell>
          <cell r="L45">
            <v>2172533</v>
          </cell>
          <cell r="M45">
            <v>2367086</v>
          </cell>
          <cell r="N45">
            <v>2561639</v>
          </cell>
          <cell r="O45">
            <v>2809507</v>
          </cell>
          <cell r="P45">
            <v>3180077</v>
          </cell>
          <cell r="T45">
            <v>42</v>
          </cell>
          <cell r="U45" t="str">
            <v>Total Volume</v>
          </cell>
          <cell r="X45">
            <v>409319</v>
          </cell>
          <cell r="Y45">
            <v>819542</v>
          </cell>
          <cell r="Z45">
            <v>1210135</v>
          </cell>
          <cell r="AA45">
            <v>1487184</v>
          </cell>
          <cell r="AB45">
            <v>1682492</v>
          </cell>
          <cell r="AC45">
            <v>1863991</v>
          </cell>
          <cell r="AD45">
            <v>2058168</v>
          </cell>
          <cell r="AE45">
            <v>2250005</v>
          </cell>
          <cell r="AF45">
            <v>2443791</v>
          </cell>
          <cell r="AG45">
            <v>2678599</v>
          </cell>
          <cell r="AH45">
            <v>2959377</v>
          </cell>
          <cell r="AI45">
            <v>3326194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- 2020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- 2019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90828</v>
          </cell>
          <cell r="F48">
            <v>180449</v>
          </cell>
          <cell r="G48">
            <v>257495</v>
          </cell>
          <cell r="H48">
            <v>305215</v>
          </cell>
          <cell r="I48">
            <v>336931</v>
          </cell>
          <cell r="J48">
            <v>352850</v>
          </cell>
          <cell r="K48">
            <v>362537</v>
          </cell>
          <cell r="L48">
            <v>371244</v>
          </cell>
          <cell r="M48">
            <v>380445</v>
          </cell>
          <cell r="N48">
            <v>389610</v>
          </cell>
          <cell r="O48">
            <v>417073</v>
          </cell>
          <cell r="P48">
            <v>478607</v>
          </cell>
          <cell r="T48">
            <v>45</v>
          </cell>
          <cell r="U48" t="str">
            <v>Residential</v>
          </cell>
          <cell r="X48">
            <v>97291</v>
          </cell>
          <cell r="Y48">
            <v>211367</v>
          </cell>
          <cell r="Z48">
            <v>310131</v>
          </cell>
          <cell r="AA48">
            <v>362375</v>
          </cell>
          <cell r="AB48">
            <v>378450</v>
          </cell>
          <cell r="AC48">
            <v>388517</v>
          </cell>
          <cell r="AD48">
            <v>396851</v>
          </cell>
          <cell r="AE48">
            <v>404721</v>
          </cell>
          <cell r="AF48">
            <v>413452</v>
          </cell>
          <cell r="AG48">
            <v>424015</v>
          </cell>
          <cell r="AH48">
            <v>461947</v>
          </cell>
          <cell r="AI48">
            <v>538287</v>
          </cell>
        </row>
        <row r="49">
          <cell r="A49">
            <v>46</v>
          </cell>
          <cell r="B49" t="str">
            <v>Commercial</v>
          </cell>
          <cell r="E49">
            <v>209253</v>
          </cell>
          <cell r="F49">
            <v>342278</v>
          </cell>
          <cell r="G49">
            <v>458284</v>
          </cell>
          <cell r="H49">
            <v>539612</v>
          </cell>
          <cell r="I49">
            <v>600345</v>
          </cell>
          <cell r="J49">
            <v>648536</v>
          </cell>
          <cell r="K49">
            <v>699299</v>
          </cell>
          <cell r="L49">
            <v>746034</v>
          </cell>
          <cell r="M49">
            <v>797895</v>
          </cell>
          <cell r="N49">
            <v>849553</v>
          </cell>
          <cell r="O49">
            <v>924552</v>
          </cell>
          <cell r="P49">
            <v>1054589</v>
          </cell>
          <cell r="T49">
            <v>46</v>
          </cell>
          <cell r="U49" t="str">
            <v>Commercial</v>
          </cell>
          <cell r="X49">
            <v>156733</v>
          </cell>
          <cell r="Y49">
            <v>311223</v>
          </cell>
          <cell r="Z49">
            <v>451151</v>
          </cell>
          <cell r="AA49">
            <v>540550</v>
          </cell>
          <cell r="AB49">
            <v>605000</v>
          </cell>
          <cell r="AC49">
            <v>653981</v>
          </cell>
          <cell r="AD49">
            <v>703380</v>
          </cell>
          <cell r="AE49">
            <v>747582</v>
          </cell>
          <cell r="AF49">
            <v>798758</v>
          </cell>
          <cell r="AG49">
            <v>857417</v>
          </cell>
          <cell r="AH49">
            <v>946902</v>
          </cell>
          <cell r="AI49">
            <v>1078790</v>
          </cell>
        </row>
        <row r="50">
          <cell r="A50">
            <v>47</v>
          </cell>
          <cell r="B50" t="str">
            <v xml:space="preserve">Industrial </v>
          </cell>
          <cell r="E50">
            <v>108772</v>
          </cell>
          <cell r="F50">
            <v>257767</v>
          </cell>
          <cell r="G50">
            <v>414006</v>
          </cell>
          <cell r="H50">
            <v>571490</v>
          </cell>
          <cell r="I50">
            <v>712987</v>
          </cell>
          <cell r="J50">
            <v>860030</v>
          </cell>
          <cell r="K50">
            <v>1004808</v>
          </cell>
          <cell r="L50">
            <v>1135243</v>
          </cell>
          <cell r="M50">
            <v>1276170</v>
          </cell>
          <cell r="N50">
            <v>1416545</v>
          </cell>
          <cell r="O50">
            <v>1571258</v>
          </cell>
          <cell r="P50">
            <v>1764736</v>
          </cell>
          <cell r="T50">
            <v>47</v>
          </cell>
          <cell r="U50" t="str">
            <v xml:space="preserve">Industrial </v>
          </cell>
          <cell r="X50">
            <v>173568</v>
          </cell>
          <cell r="Y50">
            <v>332867</v>
          </cell>
          <cell r="Z50">
            <v>501301</v>
          </cell>
          <cell r="AA50">
            <v>647942</v>
          </cell>
          <cell r="AB50">
            <v>770368</v>
          </cell>
          <cell r="AC50">
            <v>899884</v>
          </cell>
          <cell r="AD50">
            <v>1044050</v>
          </cell>
          <cell r="AE50">
            <v>1192473</v>
          </cell>
          <cell r="AF50">
            <v>1333764</v>
          </cell>
          <cell r="AG50">
            <v>1508704</v>
          </cell>
          <cell r="AH50">
            <v>1672993</v>
          </cell>
          <cell r="AI50">
            <v>1844323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408853</v>
          </cell>
          <cell r="F52">
            <v>780494</v>
          </cell>
          <cell r="G52">
            <v>1129785</v>
          </cell>
          <cell r="H52">
            <v>1416317</v>
          </cell>
          <cell r="I52">
            <v>1650263</v>
          </cell>
          <cell r="J52">
            <v>1861416</v>
          </cell>
          <cell r="K52">
            <v>2066644</v>
          </cell>
          <cell r="L52">
            <v>2252521</v>
          </cell>
          <cell r="M52">
            <v>2454510</v>
          </cell>
          <cell r="N52">
            <v>2655708</v>
          </cell>
          <cell r="O52">
            <v>2912883</v>
          </cell>
          <cell r="P52">
            <v>3297932</v>
          </cell>
          <cell r="T52">
            <v>49</v>
          </cell>
          <cell r="U52" t="str">
            <v>Total Volume</v>
          </cell>
          <cell r="W52">
            <v>0</v>
          </cell>
          <cell r="X52">
            <v>427592</v>
          </cell>
          <cell r="Y52">
            <v>855457</v>
          </cell>
          <cell r="Z52">
            <v>1262583</v>
          </cell>
          <cell r="AA52">
            <v>1550867</v>
          </cell>
          <cell r="AB52">
            <v>1753818</v>
          </cell>
          <cell r="AC52">
            <v>1942382</v>
          </cell>
          <cell r="AD52">
            <v>2144281</v>
          </cell>
          <cell r="AE52">
            <v>2344776</v>
          </cell>
          <cell r="AF52">
            <v>2545974</v>
          </cell>
          <cell r="AG52">
            <v>2790136</v>
          </cell>
          <cell r="AH52">
            <v>3081842</v>
          </cell>
          <cell r="AI52">
            <v>3461400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13538</v>
          </cell>
          <cell r="F55">
            <v>13574</v>
          </cell>
          <cell r="G55">
            <v>13598</v>
          </cell>
          <cell r="H55">
            <v>13587</v>
          </cell>
          <cell r="I55">
            <v>13545</v>
          </cell>
          <cell r="J55">
            <v>13480</v>
          </cell>
          <cell r="K55">
            <v>13422</v>
          </cell>
          <cell r="L55">
            <v>13368</v>
          </cell>
          <cell r="M55">
            <v>13322</v>
          </cell>
          <cell r="N55">
            <v>13302</v>
          </cell>
          <cell r="O55">
            <v>13305</v>
          </cell>
          <cell r="P55">
            <v>13332</v>
          </cell>
        </row>
        <row r="56">
          <cell r="A56">
            <v>53</v>
          </cell>
          <cell r="B56" t="str">
            <v>Cumulative Budget YTD Volume (Mcfs)</v>
          </cell>
          <cell r="E56">
            <v>438678.95732902089</v>
          </cell>
          <cell r="F56">
            <v>860357.25015204307</v>
          </cell>
          <cell r="G56">
            <v>1251991.8167014336</v>
          </cell>
          <cell r="H56">
            <v>1548656.4106957563</v>
          </cell>
          <cell r="I56">
            <v>1766445.8951120358</v>
          </cell>
          <cell r="J56">
            <v>1974573.0792061929</v>
          </cell>
          <cell r="K56">
            <v>2156453.0290111094</v>
          </cell>
          <cell r="L56">
            <v>2358034.3909916081</v>
          </cell>
          <cell r="M56">
            <v>2548446.221911469</v>
          </cell>
          <cell r="N56">
            <v>2792435.3419894786</v>
          </cell>
          <cell r="O56">
            <v>3098729.3899054644</v>
          </cell>
          <cell r="P56">
            <v>3475617.8715919582</v>
          </cell>
        </row>
        <row r="57">
          <cell r="A57">
            <v>54</v>
          </cell>
          <cell r="B57" t="str">
            <v>Cumulative YTD Budget Volume (Dts) * 1.035</v>
          </cell>
          <cell r="E57">
            <v>454032.7208355366</v>
          </cell>
          <cell r="F57">
            <v>890469.75390736444</v>
          </cell>
          <cell r="G57">
            <v>1295811.5302859838</v>
          </cell>
          <cell r="H57">
            <v>1602859.3850701079</v>
          </cell>
          <cell r="I57">
            <v>1828271.5014409572</v>
          </cell>
          <cell r="J57">
            <v>2043683.1369784097</v>
          </cell>
          <cell r="K57">
            <v>2231928.8850264982</v>
          </cell>
          <cell r="L57">
            <v>2440565.5946763144</v>
          </cell>
          <cell r="M57">
            <v>2637641.8396783704</v>
          </cell>
          <cell r="N57">
            <v>2890170.5789591102</v>
          </cell>
          <cell r="O57">
            <v>3207184.9185521556</v>
          </cell>
          <cell r="P57">
            <v>3597264.4970976766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9846</v>
          </cell>
          <cell r="E5">
            <v>9786</v>
          </cell>
          <cell r="F5">
            <v>9791</v>
          </cell>
          <cell r="G5">
            <v>9812</v>
          </cell>
          <cell r="H5">
            <v>9815</v>
          </cell>
          <cell r="I5">
            <v>9818</v>
          </cell>
          <cell r="J5">
            <v>9844</v>
          </cell>
          <cell r="K5">
            <v>9848</v>
          </cell>
          <cell r="L5">
            <v>9857</v>
          </cell>
          <cell r="M5">
            <v>9855</v>
          </cell>
          <cell r="N5">
            <v>9875</v>
          </cell>
          <cell r="O5">
            <v>9893</v>
          </cell>
          <cell r="P5">
            <v>9958</v>
          </cell>
          <cell r="T5">
            <v>2</v>
          </cell>
          <cell r="U5" t="str">
            <v>Residential</v>
          </cell>
          <cell r="V5">
            <v>9671</v>
          </cell>
          <cell r="W5">
            <v>116053</v>
          </cell>
          <cell r="X5">
            <v>9687</v>
          </cell>
          <cell r="Y5">
            <v>9704</v>
          </cell>
          <cell r="Z5">
            <v>9701</v>
          </cell>
          <cell r="AA5">
            <v>9668</v>
          </cell>
          <cell r="AB5">
            <v>9632</v>
          </cell>
          <cell r="AC5">
            <v>9626</v>
          </cell>
          <cell r="AD5">
            <v>9649</v>
          </cell>
          <cell r="AE5">
            <v>9638</v>
          </cell>
          <cell r="AF5">
            <v>9639</v>
          </cell>
          <cell r="AG5">
            <v>9656</v>
          </cell>
          <cell r="AH5">
            <v>9699</v>
          </cell>
          <cell r="AI5">
            <v>9754</v>
          </cell>
        </row>
        <row r="6">
          <cell r="A6">
            <v>3</v>
          </cell>
          <cell r="B6" t="str">
            <v>Commercial</v>
          </cell>
          <cell r="D6">
            <v>1096</v>
          </cell>
          <cell r="E6">
            <v>1087</v>
          </cell>
          <cell r="F6">
            <v>1081</v>
          </cell>
          <cell r="G6">
            <v>1073</v>
          </cell>
          <cell r="H6">
            <v>1082</v>
          </cell>
          <cell r="I6">
            <v>1088</v>
          </cell>
          <cell r="J6">
            <v>1105</v>
          </cell>
          <cell r="K6">
            <v>1109</v>
          </cell>
          <cell r="L6">
            <v>1108</v>
          </cell>
          <cell r="M6">
            <v>1106</v>
          </cell>
          <cell r="N6">
            <v>1138</v>
          </cell>
          <cell r="O6">
            <v>1089</v>
          </cell>
          <cell r="P6">
            <v>1084</v>
          </cell>
          <cell r="T6">
            <v>3</v>
          </cell>
          <cell r="U6" t="str">
            <v>Commercial</v>
          </cell>
          <cell r="V6">
            <v>1091</v>
          </cell>
          <cell r="W6">
            <v>13090</v>
          </cell>
          <cell r="X6">
            <v>1073</v>
          </cell>
          <cell r="Y6">
            <v>1062</v>
          </cell>
          <cell r="Z6">
            <v>1060</v>
          </cell>
          <cell r="AA6">
            <v>1069</v>
          </cell>
          <cell r="AB6">
            <v>1090</v>
          </cell>
          <cell r="AC6">
            <v>1105</v>
          </cell>
          <cell r="AD6">
            <v>1110</v>
          </cell>
          <cell r="AE6">
            <v>1114</v>
          </cell>
          <cell r="AF6">
            <v>1112</v>
          </cell>
          <cell r="AG6">
            <v>1109</v>
          </cell>
          <cell r="AH6">
            <v>1096</v>
          </cell>
          <cell r="AI6">
            <v>1090</v>
          </cell>
        </row>
        <row r="7">
          <cell r="A7">
            <v>4</v>
          </cell>
          <cell r="B7" t="str">
            <v xml:space="preserve">Industrial </v>
          </cell>
          <cell r="D7">
            <v>32</v>
          </cell>
          <cell r="E7">
            <v>31</v>
          </cell>
          <cell r="F7">
            <v>36</v>
          </cell>
          <cell r="G7">
            <v>29</v>
          </cell>
          <cell r="H7">
            <v>35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40</v>
          </cell>
          <cell r="N7">
            <v>2</v>
          </cell>
          <cell r="O7">
            <v>36</v>
          </cell>
          <cell r="P7">
            <v>36</v>
          </cell>
          <cell r="T7">
            <v>4</v>
          </cell>
          <cell r="U7" t="str">
            <v xml:space="preserve">Industrial </v>
          </cell>
          <cell r="V7">
            <v>28</v>
          </cell>
          <cell r="W7">
            <v>338</v>
          </cell>
          <cell r="X7">
            <v>24</v>
          </cell>
          <cell r="Y7">
            <v>28</v>
          </cell>
          <cell r="Z7">
            <v>29</v>
          </cell>
          <cell r="AA7">
            <v>29</v>
          </cell>
          <cell r="AB7">
            <v>28</v>
          </cell>
          <cell r="AC7">
            <v>28</v>
          </cell>
          <cell r="AD7">
            <v>28</v>
          </cell>
          <cell r="AE7">
            <v>29</v>
          </cell>
          <cell r="AF7">
            <v>29</v>
          </cell>
          <cell r="AG7">
            <v>28</v>
          </cell>
          <cell r="AH7">
            <v>29</v>
          </cell>
          <cell r="AI7">
            <v>29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10974</v>
          </cell>
          <cell r="E9">
            <v>10904</v>
          </cell>
          <cell r="F9">
            <v>10908</v>
          </cell>
          <cell r="G9">
            <v>10914</v>
          </cell>
          <cell r="H9">
            <v>10932</v>
          </cell>
          <cell r="I9">
            <v>10941</v>
          </cell>
          <cell r="J9">
            <v>10984</v>
          </cell>
          <cell r="K9">
            <v>10992</v>
          </cell>
          <cell r="L9">
            <v>11000</v>
          </cell>
          <cell r="M9">
            <v>11001</v>
          </cell>
          <cell r="N9">
            <v>11015</v>
          </cell>
          <cell r="O9">
            <v>11018</v>
          </cell>
          <cell r="P9">
            <v>11078</v>
          </cell>
          <cell r="T9">
            <v>6</v>
          </cell>
          <cell r="U9" t="str">
            <v>Total customers</v>
          </cell>
          <cell r="V9">
            <v>10790</v>
          </cell>
          <cell r="W9">
            <v>129481</v>
          </cell>
          <cell r="X9">
            <v>10784</v>
          </cell>
          <cell r="Y9">
            <v>10794</v>
          </cell>
          <cell r="Z9">
            <v>10790</v>
          </cell>
          <cell r="AA9">
            <v>10766</v>
          </cell>
          <cell r="AB9">
            <v>10750</v>
          </cell>
          <cell r="AC9">
            <v>10759</v>
          </cell>
          <cell r="AD9">
            <v>10787</v>
          </cell>
          <cell r="AE9">
            <v>10781</v>
          </cell>
          <cell r="AF9">
            <v>10780</v>
          </cell>
          <cell r="AG9">
            <v>10793</v>
          </cell>
          <cell r="AH9">
            <v>10824</v>
          </cell>
          <cell r="AI9">
            <v>10873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- 2020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- 2019 -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229485.3</v>
          </cell>
          <cell r="E12">
            <v>41684</v>
          </cell>
          <cell r="F12">
            <v>39766</v>
          </cell>
          <cell r="G12">
            <v>30879</v>
          </cell>
          <cell r="H12">
            <v>22775</v>
          </cell>
          <cell r="I12">
            <v>15254</v>
          </cell>
          <cell r="J12">
            <v>9773</v>
          </cell>
          <cell r="K12">
            <v>7078.5</v>
          </cell>
          <cell r="L12">
            <v>6490.8</v>
          </cell>
          <cell r="M12">
            <v>6680</v>
          </cell>
          <cell r="N12">
            <v>6890</v>
          </cell>
          <cell r="O12">
            <v>12771</v>
          </cell>
          <cell r="P12">
            <v>29444</v>
          </cell>
          <cell r="T12">
            <v>9</v>
          </cell>
          <cell r="U12" t="str">
            <v>Residential</v>
          </cell>
          <cell r="W12">
            <v>253149</v>
          </cell>
          <cell r="X12">
            <v>43114</v>
          </cell>
          <cell r="Y12">
            <v>52744</v>
          </cell>
          <cell r="Z12">
            <v>40689</v>
          </cell>
          <cell r="AA12">
            <v>24438</v>
          </cell>
          <cell r="AB12">
            <v>8416</v>
          </cell>
          <cell r="AC12">
            <v>6551</v>
          </cell>
          <cell r="AD12">
            <v>6128</v>
          </cell>
          <cell r="AE12">
            <v>5680</v>
          </cell>
          <cell r="AF12">
            <v>6012</v>
          </cell>
          <cell r="AG12">
            <v>5866</v>
          </cell>
          <cell r="AH12">
            <v>18995</v>
          </cell>
          <cell r="AI12">
            <v>34516</v>
          </cell>
        </row>
        <row r="13">
          <cell r="A13">
            <v>10</v>
          </cell>
          <cell r="B13" t="str">
            <v>Commercial</v>
          </cell>
          <cell r="D13">
            <v>291137.40000000002</v>
          </cell>
          <cell r="E13">
            <v>31999</v>
          </cell>
          <cell r="F13">
            <v>31825</v>
          </cell>
          <cell r="G13">
            <v>27523</v>
          </cell>
          <cell r="H13">
            <v>18072</v>
          </cell>
          <cell r="I13">
            <v>12842</v>
          </cell>
          <cell r="J13">
            <v>17958</v>
          </cell>
          <cell r="K13">
            <v>41403.300000000003</v>
          </cell>
          <cell r="L13">
            <v>21001.1</v>
          </cell>
          <cell r="M13">
            <v>26724</v>
          </cell>
          <cell r="N13">
            <v>20670</v>
          </cell>
          <cell r="O13">
            <v>18027</v>
          </cell>
          <cell r="P13">
            <v>23093</v>
          </cell>
          <cell r="T13">
            <v>10</v>
          </cell>
          <cell r="U13" t="str">
            <v>Commercial</v>
          </cell>
          <cell r="W13">
            <v>281473</v>
          </cell>
          <cell r="X13">
            <v>26356</v>
          </cell>
          <cell r="Y13">
            <v>30117</v>
          </cell>
          <cell r="Z13">
            <v>26733</v>
          </cell>
          <cell r="AA13">
            <v>22780</v>
          </cell>
          <cell r="AB13">
            <v>17987</v>
          </cell>
          <cell r="AC13">
            <v>21462</v>
          </cell>
          <cell r="AD13">
            <v>26192</v>
          </cell>
          <cell r="AE13">
            <v>26063</v>
          </cell>
          <cell r="AF13">
            <v>26801</v>
          </cell>
          <cell r="AG13">
            <v>18278</v>
          </cell>
          <cell r="AH13">
            <v>16839</v>
          </cell>
          <cell r="AI13">
            <v>21865</v>
          </cell>
        </row>
        <row r="14">
          <cell r="A14">
            <v>11</v>
          </cell>
          <cell r="B14" t="str">
            <v xml:space="preserve">Industrial </v>
          </cell>
          <cell r="D14">
            <v>199841.9</v>
          </cell>
          <cell r="E14">
            <v>20098</v>
          </cell>
          <cell r="F14">
            <v>19060</v>
          </cell>
          <cell r="G14">
            <v>20945</v>
          </cell>
          <cell r="H14">
            <v>16947</v>
          </cell>
          <cell r="I14">
            <v>16585</v>
          </cell>
          <cell r="J14">
            <v>20512</v>
          </cell>
          <cell r="K14">
            <v>3402.9</v>
          </cell>
          <cell r="L14">
            <v>1382</v>
          </cell>
          <cell r="M14">
            <v>16041</v>
          </cell>
          <cell r="N14">
            <v>23489</v>
          </cell>
          <cell r="O14">
            <v>18663</v>
          </cell>
          <cell r="P14">
            <v>22717</v>
          </cell>
          <cell r="T14">
            <v>11</v>
          </cell>
          <cell r="U14" t="str">
            <v xml:space="preserve">Industrial </v>
          </cell>
          <cell r="W14">
            <v>321826</v>
          </cell>
          <cell r="X14">
            <v>27207</v>
          </cell>
          <cell r="Y14">
            <v>23570</v>
          </cell>
          <cell r="Z14">
            <v>26475</v>
          </cell>
          <cell r="AA14">
            <v>27788</v>
          </cell>
          <cell r="AB14">
            <v>24611</v>
          </cell>
          <cell r="AC14">
            <v>22717</v>
          </cell>
          <cell r="AD14">
            <v>24364</v>
          </cell>
          <cell r="AE14">
            <v>25645</v>
          </cell>
          <cell r="AF14">
            <v>25919</v>
          </cell>
          <cell r="AG14">
            <v>27561</v>
          </cell>
          <cell r="AH14">
            <v>31842</v>
          </cell>
          <cell r="AI14">
            <v>34127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720464.6</v>
          </cell>
          <cell r="E16">
            <v>93781</v>
          </cell>
          <cell r="F16">
            <v>90651</v>
          </cell>
          <cell r="G16">
            <v>79347</v>
          </cell>
          <cell r="H16">
            <v>57794</v>
          </cell>
          <cell r="I16">
            <v>44681</v>
          </cell>
          <cell r="J16">
            <v>48243</v>
          </cell>
          <cell r="K16">
            <v>51884.700000000004</v>
          </cell>
          <cell r="L16">
            <v>28873.899999999998</v>
          </cell>
          <cell r="M16">
            <v>49445</v>
          </cell>
          <cell r="N16">
            <v>51049</v>
          </cell>
          <cell r="O16">
            <v>49461</v>
          </cell>
          <cell r="P16">
            <v>75254</v>
          </cell>
          <cell r="T16">
            <v>13</v>
          </cell>
          <cell r="U16" t="str">
            <v>Total Deliveries</v>
          </cell>
          <cell r="W16">
            <v>856448</v>
          </cell>
          <cell r="X16">
            <v>96677</v>
          </cell>
          <cell r="Y16">
            <v>106431</v>
          </cell>
          <cell r="Z16">
            <v>93897</v>
          </cell>
          <cell r="AA16">
            <v>75006</v>
          </cell>
          <cell r="AB16">
            <v>51014</v>
          </cell>
          <cell r="AC16">
            <v>50730</v>
          </cell>
          <cell r="AD16">
            <v>56684</v>
          </cell>
          <cell r="AE16">
            <v>57388</v>
          </cell>
          <cell r="AF16">
            <v>58732</v>
          </cell>
          <cell r="AG16">
            <v>51705</v>
          </cell>
          <cell r="AH16">
            <v>67676</v>
          </cell>
          <cell r="AI16">
            <v>90508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1.036532</v>
          </cell>
          <cell r="F18">
            <v>1.0381069999999999</v>
          </cell>
          <cell r="G18">
            <v>1.03756</v>
          </cell>
          <cell r="H18">
            <v>1.038702</v>
          </cell>
          <cell r="I18">
            <v>1.0374890000000001</v>
          </cell>
          <cell r="J18">
            <v>1.0361590000000001</v>
          </cell>
          <cell r="K18">
            <v>1.0339069999999999</v>
          </cell>
          <cell r="L18">
            <v>1.0337160000000001</v>
          </cell>
          <cell r="M18">
            <v>1.0382199999999999</v>
          </cell>
          <cell r="N18">
            <v>1.0341530000000001</v>
          </cell>
          <cell r="O18">
            <v>1.037547</v>
          </cell>
          <cell r="P18">
            <v>1.039072</v>
          </cell>
          <cell r="T18">
            <v>15</v>
          </cell>
          <cell r="X18">
            <v>1.0446409999999999</v>
          </cell>
          <cell r="Y18">
            <v>1.043005</v>
          </cell>
          <cell r="Z18">
            <v>1.042327</v>
          </cell>
          <cell r="AA18">
            <v>1.040551</v>
          </cell>
          <cell r="AB18">
            <v>1.039137</v>
          </cell>
          <cell r="AC18">
            <v>1.0389269999999999</v>
          </cell>
          <cell r="AD18">
            <v>1.0397700000000001</v>
          </cell>
          <cell r="AE18">
            <v>1.0451280000000001</v>
          </cell>
          <cell r="AF18">
            <v>1.038249</v>
          </cell>
          <cell r="AG18">
            <v>1.0398369999999999</v>
          </cell>
          <cell r="AH18">
            <v>1.0389200000000001</v>
          </cell>
          <cell r="AI18">
            <v>1.034735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- 2020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- 2019 -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238069</v>
          </cell>
          <cell r="E21">
            <v>43207</v>
          </cell>
          <cell r="F21">
            <v>41281</v>
          </cell>
          <cell r="G21">
            <v>32039</v>
          </cell>
          <cell r="H21">
            <v>23656</v>
          </cell>
          <cell r="I21">
            <v>15826</v>
          </cell>
          <cell r="J21">
            <v>10126</v>
          </cell>
          <cell r="K21">
            <v>7319</v>
          </cell>
          <cell r="L21">
            <v>6710</v>
          </cell>
          <cell r="M21">
            <v>6935</v>
          </cell>
          <cell r="N21">
            <v>7125</v>
          </cell>
          <cell r="O21">
            <v>13251</v>
          </cell>
          <cell r="P21">
            <v>30594</v>
          </cell>
          <cell r="T21">
            <v>18</v>
          </cell>
          <cell r="U21" t="str">
            <v>Residential</v>
          </cell>
          <cell r="W21">
            <v>263541</v>
          </cell>
          <cell r="X21">
            <v>45039</v>
          </cell>
          <cell r="Y21">
            <v>55012</v>
          </cell>
          <cell r="Z21">
            <v>42411</v>
          </cell>
          <cell r="AA21">
            <v>25429</v>
          </cell>
          <cell r="AB21">
            <v>8745</v>
          </cell>
          <cell r="AC21">
            <v>6806</v>
          </cell>
          <cell r="AD21">
            <v>6372</v>
          </cell>
          <cell r="AE21">
            <v>5936</v>
          </cell>
          <cell r="AF21">
            <v>6242</v>
          </cell>
          <cell r="AG21">
            <v>6100</v>
          </cell>
          <cell r="AH21">
            <v>19734</v>
          </cell>
          <cell r="AI21">
            <v>35715</v>
          </cell>
        </row>
        <row r="22">
          <cell r="A22">
            <v>19</v>
          </cell>
          <cell r="B22" t="str">
            <v>Commercial</v>
          </cell>
          <cell r="D22">
            <v>301800</v>
          </cell>
          <cell r="E22">
            <v>33168</v>
          </cell>
          <cell r="F22">
            <v>33038</v>
          </cell>
          <cell r="G22">
            <v>28557</v>
          </cell>
          <cell r="H22">
            <v>18771</v>
          </cell>
          <cell r="I22">
            <v>13323</v>
          </cell>
          <cell r="J22">
            <v>18607</v>
          </cell>
          <cell r="K22">
            <v>42807</v>
          </cell>
          <cell r="L22">
            <v>21709</v>
          </cell>
          <cell r="M22">
            <v>27745</v>
          </cell>
          <cell r="N22">
            <v>21376</v>
          </cell>
          <cell r="O22">
            <v>18704</v>
          </cell>
          <cell r="P22">
            <v>23995</v>
          </cell>
          <cell r="T22">
            <v>19</v>
          </cell>
          <cell r="U22" t="str">
            <v>Commercial</v>
          </cell>
          <cell r="W22">
            <v>292925</v>
          </cell>
          <cell r="X22">
            <v>27533</v>
          </cell>
          <cell r="Y22">
            <v>31412</v>
          </cell>
          <cell r="Z22">
            <v>27865</v>
          </cell>
          <cell r="AA22">
            <v>23704</v>
          </cell>
          <cell r="AB22">
            <v>18691</v>
          </cell>
          <cell r="AC22">
            <v>22297</v>
          </cell>
          <cell r="AD22">
            <v>27234</v>
          </cell>
          <cell r="AE22">
            <v>27239</v>
          </cell>
          <cell r="AF22">
            <v>27826</v>
          </cell>
          <cell r="AG22">
            <v>19006</v>
          </cell>
          <cell r="AH22">
            <v>17494</v>
          </cell>
          <cell r="AI22">
            <v>22624</v>
          </cell>
        </row>
        <row r="23">
          <cell r="A23">
            <v>20</v>
          </cell>
          <cell r="B23" t="str">
            <v xml:space="preserve">Industrial </v>
          </cell>
          <cell r="D23">
            <v>207275</v>
          </cell>
          <cell r="E23">
            <v>20832</v>
          </cell>
          <cell r="F23">
            <v>19786</v>
          </cell>
          <cell r="G23">
            <v>21732</v>
          </cell>
          <cell r="H23">
            <v>17603</v>
          </cell>
          <cell r="I23">
            <v>17207</v>
          </cell>
          <cell r="J23">
            <v>21254</v>
          </cell>
          <cell r="K23">
            <v>3518</v>
          </cell>
          <cell r="L23">
            <v>1429</v>
          </cell>
          <cell r="M23">
            <v>16654</v>
          </cell>
          <cell r="N23">
            <v>24291</v>
          </cell>
          <cell r="O23">
            <v>19364</v>
          </cell>
          <cell r="P23">
            <v>23605</v>
          </cell>
          <cell r="T23">
            <v>20</v>
          </cell>
          <cell r="U23" t="str">
            <v xml:space="preserve">Industrial </v>
          </cell>
          <cell r="W23">
            <v>334789</v>
          </cell>
          <cell r="X23">
            <v>28422</v>
          </cell>
          <cell r="Y23">
            <v>24584</v>
          </cell>
          <cell r="Z23">
            <v>27596</v>
          </cell>
          <cell r="AA23">
            <v>28915</v>
          </cell>
          <cell r="AB23">
            <v>25574</v>
          </cell>
          <cell r="AC23">
            <v>23601</v>
          </cell>
          <cell r="AD23">
            <v>25333</v>
          </cell>
          <cell r="AE23">
            <v>26802</v>
          </cell>
          <cell r="AF23">
            <v>26910</v>
          </cell>
          <cell r="AG23">
            <v>28659</v>
          </cell>
          <cell r="AH23">
            <v>33081</v>
          </cell>
          <cell r="AI23">
            <v>35312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747144</v>
          </cell>
          <cell r="E25">
            <v>97207</v>
          </cell>
          <cell r="F25">
            <v>94105</v>
          </cell>
          <cell r="G25">
            <v>82328</v>
          </cell>
          <cell r="H25">
            <v>60030</v>
          </cell>
          <cell r="I25">
            <v>46356</v>
          </cell>
          <cell r="J25">
            <v>49987</v>
          </cell>
          <cell r="K25">
            <v>53644</v>
          </cell>
          <cell r="L25">
            <v>29848</v>
          </cell>
          <cell r="M25">
            <v>51334</v>
          </cell>
          <cell r="N25">
            <v>52792</v>
          </cell>
          <cell r="O25">
            <v>51319</v>
          </cell>
          <cell r="P25">
            <v>78194</v>
          </cell>
          <cell r="T25">
            <v>22</v>
          </cell>
          <cell r="U25" t="str">
            <v>Total Deliveries</v>
          </cell>
          <cell r="W25">
            <v>891255</v>
          </cell>
          <cell r="X25">
            <v>100994</v>
          </cell>
          <cell r="Y25">
            <v>111008</v>
          </cell>
          <cell r="Z25">
            <v>97872</v>
          </cell>
          <cell r="AA25">
            <v>78048</v>
          </cell>
          <cell r="AB25">
            <v>53010</v>
          </cell>
          <cell r="AC25">
            <v>52704</v>
          </cell>
          <cell r="AD25">
            <v>58939</v>
          </cell>
          <cell r="AE25">
            <v>59977</v>
          </cell>
          <cell r="AF25">
            <v>60978</v>
          </cell>
          <cell r="AG25">
            <v>53765</v>
          </cell>
          <cell r="AH25">
            <v>70309</v>
          </cell>
          <cell r="AI25">
            <v>93651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10995</v>
          </cell>
          <cell r="F28">
            <v>11007</v>
          </cell>
          <cell r="G28">
            <v>11021</v>
          </cell>
          <cell r="H28">
            <v>11039</v>
          </cell>
          <cell r="I28">
            <v>11054</v>
          </cell>
          <cell r="J28">
            <v>11065</v>
          </cell>
          <cell r="K28">
            <v>11079</v>
          </cell>
          <cell r="L28">
            <v>11091</v>
          </cell>
          <cell r="M28">
            <v>11109</v>
          </cell>
          <cell r="N28">
            <v>11127</v>
          </cell>
          <cell r="O28">
            <v>11143</v>
          </cell>
          <cell r="P28">
            <v>11156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112006</v>
          </cell>
          <cell r="F29">
            <v>111554</v>
          </cell>
          <cell r="G29">
            <v>95271</v>
          </cell>
          <cell r="H29">
            <v>81711</v>
          </cell>
          <cell r="I29">
            <v>62118</v>
          </cell>
          <cell r="J29">
            <v>59376</v>
          </cell>
          <cell r="K29">
            <v>53855</v>
          </cell>
          <cell r="L29">
            <v>52913</v>
          </cell>
          <cell r="M29">
            <v>50901</v>
          </cell>
          <cell r="N29">
            <v>58437</v>
          </cell>
          <cell r="O29">
            <v>72862</v>
          </cell>
          <cell r="P29">
            <v>86735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115926.20999999999</v>
          </cell>
          <cell r="F30">
            <v>115458.38999999998</v>
          </cell>
          <cell r="G30">
            <v>98605.484999999986</v>
          </cell>
          <cell r="H30">
            <v>84570.884999999995</v>
          </cell>
          <cell r="I30">
            <v>64292.13</v>
          </cell>
          <cell r="J30">
            <v>61454.159999999996</v>
          </cell>
          <cell r="K30">
            <v>55739.924999999996</v>
          </cell>
          <cell r="L30">
            <v>54764.954999999994</v>
          </cell>
          <cell r="M30">
            <v>52682.534999999996</v>
          </cell>
          <cell r="N30">
            <v>60482.294999999998</v>
          </cell>
          <cell r="O30">
            <v>75412.17</v>
          </cell>
          <cell r="P30">
            <v>89770.724999999991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9786</v>
          </cell>
          <cell r="F34">
            <v>9789</v>
          </cell>
          <cell r="G34">
            <v>9796</v>
          </cell>
          <cell r="H34">
            <v>9801</v>
          </cell>
          <cell r="I34">
            <v>9804</v>
          </cell>
          <cell r="J34">
            <v>9811</v>
          </cell>
          <cell r="K34">
            <v>9816</v>
          </cell>
          <cell r="L34">
            <v>9821</v>
          </cell>
          <cell r="M34">
            <v>9825</v>
          </cell>
          <cell r="N34">
            <v>9830</v>
          </cell>
          <cell r="O34">
            <v>9836</v>
          </cell>
          <cell r="P34">
            <v>9846</v>
          </cell>
          <cell r="T34">
            <v>31</v>
          </cell>
          <cell r="U34" t="str">
            <v>Residential</v>
          </cell>
          <cell r="X34">
            <v>9687</v>
          </cell>
          <cell r="Y34">
            <v>9696</v>
          </cell>
          <cell r="Z34">
            <v>9697</v>
          </cell>
          <cell r="AA34">
            <v>9690</v>
          </cell>
          <cell r="AB34">
            <v>9678</v>
          </cell>
          <cell r="AC34">
            <v>9670</v>
          </cell>
          <cell r="AD34">
            <v>9667</v>
          </cell>
          <cell r="AE34">
            <v>9663</v>
          </cell>
          <cell r="AF34">
            <v>9660</v>
          </cell>
          <cell r="AG34">
            <v>9660</v>
          </cell>
          <cell r="AH34">
            <v>9664</v>
          </cell>
          <cell r="AI34">
            <v>9671</v>
          </cell>
        </row>
        <row r="35">
          <cell r="A35">
            <v>32</v>
          </cell>
          <cell r="B35" t="str">
            <v>Commercial</v>
          </cell>
          <cell r="E35">
            <v>1087</v>
          </cell>
          <cell r="F35">
            <v>1084</v>
          </cell>
          <cell r="G35">
            <v>1080</v>
          </cell>
          <cell r="H35">
            <v>1081</v>
          </cell>
          <cell r="I35">
            <v>1082</v>
          </cell>
          <cell r="J35">
            <v>1086</v>
          </cell>
          <cell r="K35">
            <v>1089</v>
          </cell>
          <cell r="L35">
            <v>1092</v>
          </cell>
          <cell r="M35">
            <v>1093</v>
          </cell>
          <cell r="N35">
            <v>1098</v>
          </cell>
          <cell r="O35">
            <v>1097</v>
          </cell>
          <cell r="P35">
            <v>1096</v>
          </cell>
          <cell r="T35">
            <v>32</v>
          </cell>
          <cell r="U35" t="str">
            <v>Commercial</v>
          </cell>
          <cell r="X35">
            <v>1073</v>
          </cell>
          <cell r="Y35">
            <v>1068</v>
          </cell>
          <cell r="Z35">
            <v>1065</v>
          </cell>
          <cell r="AA35">
            <v>1066</v>
          </cell>
          <cell r="AB35">
            <v>1071</v>
          </cell>
          <cell r="AC35">
            <v>1077</v>
          </cell>
          <cell r="AD35">
            <v>1081</v>
          </cell>
          <cell r="AE35">
            <v>1085</v>
          </cell>
          <cell r="AF35">
            <v>1088</v>
          </cell>
          <cell r="AG35">
            <v>1090</v>
          </cell>
          <cell r="AH35">
            <v>1091</v>
          </cell>
          <cell r="AI35">
            <v>1091</v>
          </cell>
        </row>
        <row r="36">
          <cell r="A36">
            <v>33</v>
          </cell>
          <cell r="B36" t="str">
            <v xml:space="preserve">Industrial </v>
          </cell>
          <cell r="E36">
            <v>31</v>
          </cell>
          <cell r="F36">
            <v>34</v>
          </cell>
          <cell r="G36">
            <v>32</v>
          </cell>
          <cell r="H36">
            <v>33</v>
          </cell>
          <cell r="I36">
            <v>33</v>
          </cell>
          <cell r="J36">
            <v>34</v>
          </cell>
          <cell r="K36">
            <v>34</v>
          </cell>
          <cell r="L36">
            <v>34</v>
          </cell>
          <cell r="M36">
            <v>35</v>
          </cell>
          <cell r="N36">
            <v>31</v>
          </cell>
          <cell r="O36">
            <v>32</v>
          </cell>
          <cell r="P36">
            <v>32</v>
          </cell>
          <cell r="T36">
            <v>33</v>
          </cell>
          <cell r="U36" t="str">
            <v xml:space="preserve">Industrial </v>
          </cell>
          <cell r="X36">
            <v>24</v>
          </cell>
          <cell r="Y36">
            <v>26</v>
          </cell>
          <cell r="Z36">
            <v>27</v>
          </cell>
          <cell r="AA36">
            <v>28</v>
          </cell>
          <cell r="AB36">
            <v>28</v>
          </cell>
          <cell r="AC36">
            <v>28</v>
          </cell>
          <cell r="AD36">
            <v>28</v>
          </cell>
          <cell r="AE36">
            <v>28</v>
          </cell>
          <cell r="AF36">
            <v>28</v>
          </cell>
          <cell r="AG36">
            <v>28</v>
          </cell>
          <cell r="AH36">
            <v>28</v>
          </cell>
          <cell r="AI36">
            <v>28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10904</v>
          </cell>
          <cell r="F38">
            <v>10907</v>
          </cell>
          <cell r="G38">
            <v>10908</v>
          </cell>
          <cell r="H38">
            <v>10915</v>
          </cell>
          <cell r="I38">
            <v>10919</v>
          </cell>
          <cell r="J38">
            <v>10931</v>
          </cell>
          <cell r="K38">
            <v>10939</v>
          </cell>
          <cell r="L38">
            <v>10947</v>
          </cell>
          <cell r="M38">
            <v>10953</v>
          </cell>
          <cell r="N38">
            <v>10959</v>
          </cell>
          <cell r="O38">
            <v>10965</v>
          </cell>
          <cell r="P38">
            <v>10974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10784</v>
          </cell>
          <cell r="Y38">
            <v>10790</v>
          </cell>
          <cell r="Z38">
            <v>10789</v>
          </cell>
          <cell r="AA38">
            <v>10784</v>
          </cell>
          <cell r="AB38">
            <v>10777</v>
          </cell>
          <cell r="AC38">
            <v>10775</v>
          </cell>
          <cell r="AD38">
            <v>10776</v>
          </cell>
          <cell r="AE38">
            <v>10776</v>
          </cell>
          <cell r="AF38">
            <v>10776</v>
          </cell>
          <cell r="AG38">
            <v>10778</v>
          </cell>
          <cell r="AH38">
            <v>10783</v>
          </cell>
          <cell r="AI38">
            <v>10790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41684</v>
          </cell>
          <cell r="F41">
            <v>81450</v>
          </cell>
          <cell r="G41">
            <v>112329</v>
          </cell>
          <cell r="H41">
            <v>135104</v>
          </cell>
          <cell r="I41">
            <v>150358</v>
          </cell>
          <cell r="J41">
            <v>160131</v>
          </cell>
          <cell r="K41">
            <v>167209.5</v>
          </cell>
          <cell r="L41">
            <v>173700.3</v>
          </cell>
          <cell r="M41">
            <v>180380.3</v>
          </cell>
          <cell r="N41">
            <v>187270.3</v>
          </cell>
          <cell r="O41">
            <v>200041.3</v>
          </cell>
          <cell r="P41">
            <v>229485.3</v>
          </cell>
          <cell r="T41">
            <v>38</v>
          </cell>
          <cell r="U41" t="str">
            <v>Residential</v>
          </cell>
          <cell r="X41">
            <v>43114</v>
          </cell>
          <cell r="Y41">
            <v>95858</v>
          </cell>
          <cell r="Z41">
            <v>136547</v>
          </cell>
          <cell r="AA41">
            <v>160985</v>
          </cell>
          <cell r="AB41">
            <v>169401</v>
          </cell>
          <cell r="AC41">
            <v>175952</v>
          </cell>
          <cell r="AD41">
            <v>182080</v>
          </cell>
          <cell r="AE41">
            <v>187760</v>
          </cell>
          <cell r="AF41">
            <v>193772</v>
          </cell>
          <cell r="AG41">
            <v>199638</v>
          </cell>
          <cell r="AH41">
            <v>218633</v>
          </cell>
          <cell r="AI41">
            <v>253149</v>
          </cell>
        </row>
        <row r="42">
          <cell r="A42">
            <v>39</v>
          </cell>
          <cell r="B42" t="str">
            <v>Commercial</v>
          </cell>
          <cell r="E42">
            <v>31999</v>
          </cell>
          <cell r="F42">
            <v>63824</v>
          </cell>
          <cell r="G42">
            <v>91347</v>
          </cell>
          <cell r="H42">
            <v>109419</v>
          </cell>
          <cell r="I42">
            <v>122261</v>
          </cell>
          <cell r="J42">
            <v>140219</v>
          </cell>
          <cell r="K42">
            <v>181622.3</v>
          </cell>
          <cell r="L42">
            <v>202623.4</v>
          </cell>
          <cell r="M42">
            <v>229347.4</v>
          </cell>
          <cell r="N42">
            <v>250017.4</v>
          </cell>
          <cell r="O42">
            <v>268044.40000000002</v>
          </cell>
          <cell r="P42">
            <v>291137.40000000002</v>
          </cell>
          <cell r="T42">
            <v>39</v>
          </cell>
          <cell r="U42" t="str">
            <v>Commercial</v>
          </cell>
          <cell r="X42">
            <v>26356</v>
          </cell>
          <cell r="Y42">
            <v>56473</v>
          </cell>
          <cell r="Z42">
            <v>83206</v>
          </cell>
          <cell r="AA42">
            <v>105986</v>
          </cell>
          <cell r="AB42">
            <v>123973</v>
          </cell>
          <cell r="AC42">
            <v>145435</v>
          </cell>
          <cell r="AD42">
            <v>171627</v>
          </cell>
          <cell r="AE42">
            <v>197690</v>
          </cell>
          <cell r="AF42">
            <v>224491</v>
          </cell>
          <cell r="AG42">
            <v>242769</v>
          </cell>
          <cell r="AH42">
            <v>259608</v>
          </cell>
          <cell r="AI42">
            <v>281473</v>
          </cell>
        </row>
        <row r="43">
          <cell r="A43">
            <v>40</v>
          </cell>
          <cell r="B43" t="str">
            <v xml:space="preserve">Industrial </v>
          </cell>
          <cell r="E43">
            <v>20098</v>
          </cell>
          <cell r="F43">
            <v>39158</v>
          </cell>
          <cell r="G43">
            <v>60103</v>
          </cell>
          <cell r="H43">
            <v>77050</v>
          </cell>
          <cell r="I43">
            <v>93635</v>
          </cell>
          <cell r="J43">
            <v>114147</v>
          </cell>
          <cell r="K43">
            <v>117549.9</v>
          </cell>
          <cell r="L43">
            <v>118931.9</v>
          </cell>
          <cell r="M43">
            <v>134972.9</v>
          </cell>
          <cell r="N43">
            <v>158461.9</v>
          </cell>
          <cell r="O43">
            <v>177124.9</v>
          </cell>
          <cell r="P43">
            <v>199841.9</v>
          </cell>
          <cell r="T43">
            <v>40</v>
          </cell>
          <cell r="U43" t="str">
            <v xml:space="preserve">Industrial </v>
          </cell>
          <cell r="X43">
            <v>27207</v>
          </cell>
          <cell r="Y43">
            <v>50777</v>
          </cell>
          <cell r="Z43">
            <v>77252</v>
          </cell>
          <cell r="AA43">
            <v>105040</v>
          </cell>
          <cell r="AB43">
            <v>129651</v>
          </cell>
          <cell r="AC43">
            <v>152368</v>
          </cell>
          <cell r="AD43">
            <v>176732</v>
          </cell>
          <cell r="AE43">
            <v>202377</v>
          </cell>
          <cell r="AF43">
            <v>228296</v>
          </cell>
          <cell r="AG43">
            <v>255857</v>
          </cell>
          <cell r="AH43">
            <v>287699</v>
          </cell>
          <cell r="AI43">
            <v>321826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93781</v>
          </cell>
          <cell r="F45">
            <v>184432</v>
          </cell>
          <cell r="G45">
            <v>263779</v>
          </cell>
          <cell r="H45">
            <v>321573</v>
          </cell>
          <cell r="I45">
            <v>366254</v>
          </cell>
          <cell r="J45">
            <v>414497</v>
          </cell>
          <cell r="K45">
            <v>466381.69999999995</v>
          </cell>
          <cell r="L45">
            <v>495255.6</v>
          </cell>
          <cell r="M45">
            <v>544700.6</v>
          </cell>
          <cell r="N45">
            <v>595749.6</v>
          </cell>
          <cell r="O45">
            <v>645210.6</v>
          </cell>
          <cell r="P45">
            <v>720464.6</v>
          </cell>
          <cell r="T45">
            <v>42</v>
          </cell>
          <cell r="U45" t="str">
            <v>Total Volume</v>
          </cell>
          <cell r="X45">
            <v>96677</v>
          </cell>
          <cell r="Y45">
            <v>203108</v>
          </cell>
          <cell r="Z45">
            <v>297005</v>
          </cell>
          <cell r="AA45">
            <v>372011</v>
          </cell>
          <cell r="AB45">
            <v>423025</v>
          </cell>
          <cell r="AC45">
            <v>473755</v>
          </cell>
          <cell r="AD45">
            <v>530439</v>
          </cell>
          <cell r="AE45">
            <v>587827</v>
          </cell>
          <cell r="AF45">
            <v>646559</v>
          </cell>
          <cell r="AG45">
            <v>698264</v>
          </cell>
          <cell r="AH45">
            <v>765940</v>
          </cell>
          <cell r="AI45">
            <v>856448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- 2020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- 2019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43207</v>
          </cell>
          <cell r="F48">
            <v>84488</v>
          </cell>
          <cell r="G48">
            <v>116527</v>
          </cell>
          <cell r="H48">
            <v>140183</v>
          </cell>
          <cell r="I48">
            <v>156009</v>
          </cell>
          <cell r="J48">
            <v>166135</v>
          </cell>
          <cell r="K48">
            <v>173454</v>
          </cell>
          <cell r="L48">
            <v>180164</v>
          </cell>
          <cell r="M48">
            <v>187099</v>
          </cell>
          <cell r="N48">
            <v>194224</v>
          </cell>
          <cell r="O48">
            <v>207475</v>
          </cell>
          <cell r="P48">
            <v>238069</v>
          </cell>
          <cell r="T48">
            <v>45</v>
          </cell>
          <cell r="U48" t="str">
            <v>Residential</v>
          </cell>
          <cell r="X48">
            <v>45039</v>
          </cell>
          <cell r="Y48">
            <v>100051</v>
          </cell>
          <cell r="Z48">
            <v>142462</v>
          </cell>
          <cell r="AA48">
            <v>167891</v>
          </cell>
          <cell r="AB48">
            <v>176636</v>
          </cell>
          <cell r="AC48">
            <v>183442</v>
          </cell>
          <cell r="AD48">
            <v>189814</v>
          </cell>
          <cell r="AE48">
            <v>195750</v>
          </cell>
          <cell r="AF48">
            <v>201992</v>
          </cell>
          <cell r="AG48">
            <v>208092</v>
          </cell>
          <cell r="AH48">
            <v>227826</v>
          </cell>
          <cell r="AI48">
            <v>263541</v>
          </cell>
        </row>
        <row r="49">
          <cell r="A49">
            <v>46</v>
          </cell>
          <cell r="B49" t="str">
            <v>Commercial</v>
          </cell>
          <cell r="E49">
            <v>33168</v>
          </cell>
          <cell r="F49">
            <v>66206</v>
          </cell>
          <cell r="G49">
            <v>94763</v>
          </cell>
          <cell r="H49">
            <v>113534</v>
          </cell>
          <cell r="I49">
            <v>126857</v>
          </cell>
          <cell r="J49">
            <v>145464</v>
          </cell>
          <cell r="K49">
            <v>188271</v>
          </cell>
          <cell r="L49">
            <v>209980</v>
          </cell>
          <cell r="M49">
            <v>237725</v>
          </cell>
          <cell r="N49">
            <v>259101</v>
          </cell>
          <cell r="O49">
            <v>277805</v>
          </cell>
          <cell r="P49">
            <v>301800</v>
          </cell>
          <cell r="T49">
            <v>46</v>
          </cell>
          <cell r="U49" t="str">
            <v>Commercial</v>
          </cell>
          <cell r="X49">
            <v>27533</v>
          </cell>
          <cell r="Y49">
            <v>58945</v>
          </cell>
          <cell r="Z49">
            <v>86810</v>
          </cell>
          <cell r="AA49">
            <v>110514</v>
          </cell>
          <cell r="AB49">
            <v>129205</v>
          </cell>
          <cell r="AC49">
            <v>151502</v>
          </cell>
          <cell r="AD49">
            <v>178736</v>
          </cell>
          <cell r="AE49">
            <v>205975</v>
          </cell>
          <cell r="AF49">
            <v>233801</v>
          </cell>
          <cell r="AG49">
            <v>252807</v>
          </cell>
          <cell r="AH49">
            <v>270301</v>
          </cell>
          <cell r="AI49">
            <v>292925</v>
          </cell>
        </row>
        <row r="50">
          <cell r="A50">
            <v>47</v>
          </cell>
          <cell r="B50" t="str">
            <v xml:space="preserve">Industrial </v>
          </cell>
          <cell r="E50">
            <v>20832</v>
          </cell>
          <cell r="F50">
            <v>40618</v>
          </cell>
          <cell r="G50">
            <v>62350</v>
          </cell>
          <cell r="H50">
            <v>79953</v>
          </cell>
          <cell r="I50">
            <v>97160</v>
          </cell>
          <cell r="J50">
            <v>118414</v>
          </cell>
          <cell r="K50">
            <v>121932</v>
          </cell>
          <cell r="L50">
            <v>123361</v>
          </cell>
          <cell r="M50">
            <v>140015</v>
          </cell>
          <cell r="N50">
            <v>164306</v>
          </cell>
          <cell r="O50">
            <v>183670</v>
          </cell>
          <cell r="P50">
            <v>207275</v>
          </cell>
          <cell r="T50">
            <v>47</v>
          </cell>
          <cell r="U50" t="str">
            <v xml:space="preserve">Industrial </v>
          </cell>
          <cell r="X50">
            <v>28422</v>
          </cell>
          <cell r="Y50">
            <v>53006</v>
          </cell>
          <cell r="Z50">
            <v>80602</v>
          </cell>
          <cell r="AA50">
            <v>109517</v>
          </cell>
          <cell r="AB50">
            <v>135091</v>
          </cell>
          <cell r="AC50">
            <v>158692</v>
          </cell>
          <cell r="AD50">
            <v>184025</v>
          </cell>
          <cell r="AE50">
            <v>210827</v>
          </cell>
          <cell r="AF50">
            <v>237737</v>
          </cell>
          <cell r="AG50">
            <v>266396</v>
          </cell>
          <cell r="AH50">
            <v>299477</v>
          </cell>
          <cell r="AI50">
            <v>334789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97207</v>
          </cell>
          <cell r="F52">
            <v>191312</v>
          </cell>
          <cell r="G52">
            <v>273640</v>
          </cell>
          <cell r="H52">
            <v>333670</v>
          </cell>
          <cell r="I52">
            <v>380026</v>
          </cell>
          <cell r="J52">
            <v>430013</v>
          </cell>
          <cell r="K52">
            <v>483657</v>
          </cell>
          <cell r="L52">
            <v>513505</v>
          </cell>
          <cell r="M52">
            <v>564839</v>
          </cell>
          <cell r="N52">
            <v>617631</v>
          </cell>
          <cell r="O52">
            <v>668950</v>
          </cell>
          <cell r="P52">
            <v>747144</v>
          </cell>
          <cell r="T52">
            <v>49</v>
          </cell>
          <cell r="U52" t="str">
            <v>Total Volume</v>
          </cell>
          <cell r="W52">
            <v>0</v>
          </cell>
          <cell r="X52">
            <v>100994</v>
          </cell>
          <cell r="Y52">
            <v>212002</v>
          </cell>
          <cell r="Z52">
            <v>309874</v>
          </cell>
          <cell r="AA52">
            <v>387922</v>
          </cell>
          <cell r="AB52">
            <v>440932</v>
          </cell>
          <cell r="AC52">
            <v>493636</v>
          </cell>
          <cell r="AD52">
            <v>552575</v>
          </cell>
          <cell r="AE52">
            <v>612552</v>
          </cell>
          <cell r="AF52">
            <v>673530</v>
          </cell>
          <cell r="AG52">
            <v>727295</v>
          </cell>
          <cell r="AH52">
            <v>797604</v>
          </cell>
          <cell r="AI52">
            <v>891255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10995</v>
          </cell>
          <cell r="F55">
            <v>11001</v>
          </cell>
          <cell r="G55">
            <v>11008</v>
          </cell>
          <cell r="H55">
            <v>11016</v>
          </cell>
          <cell r="I55">
            <v>11023</v>
          </cell>
          <cell r="J55">
            <v>11030</v>
          </cell>
          <cell r="K55">
            <v>11037</v>
          </cell>
          <cell r="L55">
            <v>11044</v>
          </cell>
          <cell r="M55">
            <v>11051</v>
          </cell>
          <cell r="N55">
            <v>11059</v>
          </cell>
          <cell r="O55">
            <v>11066</v>
          </cell>
          <cell r="P55">
            <v>11074</v>
          </cell>
        </row>
        <row r="56">
          <cell r="A56">
            <v>53</v>
          </cell>
          <cell r="B56" t="str">
            <v>Cumulative Budget YTD Volume (Mcfs)</v>
          </cell>
          <cell r="E56">
            <v>112006</v>
          </cell>
          <cell r="F56">
            <v>223560</v>
          </cell>
          <cell r="G56">
            <v>318831</v>
          </cell>
          <cell r="H56">
            <v>400542</v>
          </cell>
          <cell r="I56">
            <v>462660</v>
          </cell>
          <cell r="J56">
            <v>522036</v>
          </cell>
          <cell r="K56">
            <v>575891</v>
          </cell>
          <cell r="L56">
            <v>628804</v>
          </cell>
          <cell r="M56">
            <v>679705</v>
          </cell>
          <cell r="N56">
            <v>738142</v>
          </cell>
          <cell r="O56">
            <v>811004</v>
          </cell>
          <cell r="P56">
            <v>897739</v>
          </cell>
        </row>
        <row r="57">
          <cell r="A57">
            <v>54</v>
          </cell>
          <cell r="B57" t="str">
            <v>Cumulative YTD Budget Volume (Dts) * 1.035</v>
          </cell>
          <cell r="E57">
            <v>115926.20999999999</v>
          </cell>
          <cell r="F57">
            <v>231384.59999999998</v>
          </cell>
          <cell r="G57">
            <v>329990.08499999996</v>
          </cell>
          <cell r="H57">
            <v>414560.97</v>
          </cell>
          <cell r="I57">
            <v>478853.1</v>
          </cell>
          <cell r="J57">
            <v>540307.26</v>
          </cell>
          <cell r="K57">
            <v>596047.18500000006</v>
          </cell>
          <cell r="L57">
            <v>650812.14</v>
          </cell>
          <cell r="M57">
            <v>703494.67500000005</v>
          </cell>
          <cell r="N57">
            <v>763976.97000000009</v>
          </cell>
          <cell r="O57">
            <v>839389.14000000013</v>
          </cell>
          <cell r="P57">
            <v>929159.86500000011</v>
          </cell>
        </row>
      </sheetData>
      <sheetData sheetId="14" refreshError="1"/>
      <sheetData sheetId="15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17919.5</v>
          </cell>
          <cell r="E5">
            <v>17606</v>
          </cell>
          <cell r="F5">
            <v>17656</v>
          </cell>
          <cell r="G5">
            <v>17720</v>
          </cell>
          <cell r="H5">
            <v>17735</v>
          </cell>
          <cell r="I5">
            <v>17762</v>
          </cell>
          <cell r="J5">
            <v>17791</v>
          </cell>
          <cell r="K5">
            <v>17861</v>
          </cell>
          <cell r="L5">
            <v>17910</v>
          </cell>
          <cell r="M5">
            <v>18019</v>
          </cell>
          <cell r="N5">
            <v>18123</v>
          </cell>
          <cell r="O5">
            <v>18368</v>
          </cell>
          <cell r="P5">
            <v>18483</v>
          </cell>
          <cell r="T5">
            <v>2</v>
          </cell>
          <cell r="U5" t="str">
            <v>Residential</v>
          </cell>
          <cell r="V5">
            <v>17262</v>
          </cell>
          <cell r="W5">
            <v>207139</v>
          </cell>
          <cell r="X5">
            <v>16901</v>
          </cell>
          <cell r="Y5">
            <v>16992</v>
          </cell>
          <cell r="Z5">
            <v>17072</v>
          </cell>
          <cell r="AA5">
            <v>17219</v>
          </cell>
          <cell r="AB5">
            <v>17186</v>
          </cell>
          <cell r="AC5">
            <v>17209</v>
          </cell>
          <cell r="AD5">
            <v>17265</v>
          </cell>
          <cell r="AE5">
            <v>17366</v>
          </cell>
          <cell r="AF5">
            <v>17395</v>
          </cell>
          <cell r="AG5">
            <v>17414</v>
          </cell>
          <cell r="AH5">
            <v>17513</v>
          </cell>
          <cell r="AI5">
            <v>17607</v>
          </cell>
        </row>
        <row r="6">
          <cell r="A6">
            <v>3</v>
          </cell>
          <cell r="B6" t="str">
            <v>Commercial</v>
          </cell>
          <cell r="D6">
            <v>1584.4166666666667</v>
          </cell>
          <cell r="E6">
            <v>1580</v>
          </cell>
          <cell r="F6">
            <v>1579</v>
          </cell>
          <cell r="G6">
            <v>1584</v>
          </cell>
          <cell r="H6">
            <v>1585</v>
          </cell>
          <cell r="I6">
            <v>1585</v>
          </cell>
          <cell r="J6">
            <v>1579</v>
          </cell>
          <cell r="K6">
            <v>1574</v>
          </cell>
          <cell r="L6">
            <v>1587</v>
          </cell>
          <cell r="M6">
            <v>1587</v>
          </cell>
          <cell r="N6">
            <v>1592</v>
          </cell>
          <cell r="O6">
            <v>1591</v>
          </cell>
          <cell r="P6">
            <v>1590</v>
          </cell>
          <cell r="T6">
            <v>3</v>
          </cell>
          <cell r="U6" t="str">
            <v>Commercial</v>
          </cell>
          <cell r="V6">
            <v>1546</v>
          </cell>
          <cell r="W6">
            <v>18554</v>
          </cell>
          <cell r="X6">
            <v>1527</v>
          </cell>
          <cell r="Y6">
            <v>1527</v>
          </cell>
          <cell r="Z6">
            <v>1534</v>
          </cell>
          <cell r="AA6">
            <v>1549</v>
          </cell>
          <cell r="AB6">
            <v>1541</v>
          </cell>
          <cell r="AC6">
            <v>1542</v>
          </cell>
          <cell r="AD6">
            <v>1556</v>
          </cell>
          <cell r="AE6">
            <v>1564</v>
          </cell>
          <cell r="AF6">
            <v>1545</v>
          </cell>
          <cell r="AG6">
            <v>1548</v>
          </cell>
          <cell r="AH6">
            <v>1553</v>
          </cell>
          <cell r="AI6">
            <v>1568</v>
          </cell>
        </row>
        <row r="7">
          <cell r="A7">
            <v>4</v>
          </cell>
          <cell r="B7" t="str">
            <v xml:space="preserve">Industrial </v>
          </cell>
          <cell r="D7">
            <v>16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T7">
            <v>4</v>
          </cell>
          <cell r="U7" t="str">
            <v xml:space="preserve">Industrial </v>
          </cell>
          <cell r="V7">
            <v>17</v>
          </cell>
          <cell r="W7">
            <v>202</v>
          </cell>
          <cell r="X7">
            <v>17</v>
          </cell>
          <cell r="Y7">
            <v>17</v>
          </cell>
          <cell r="Z7">
            <v>17</v>
          </cell>
          <cell r="AA7">
            <v>17</v>
          </cell>
          <cell r="AB7">
            <v>17</v>
          </cell>
          <cell r="AC7">
            <v>17</v>
          </cell>
          <cell r="AD7">
            <v>17</v>
          </cell>
          <cell r="AE7">
            <v>17</v>
          </cell>
          <cell r="AF7">
            <v>17</v>
          </cell>
          <cell r="AG7">
            <v>17</v>
          </cell>
          <cell r="AH7">
            <v>16</v>
          </cell>
          <cell r="AI7">
            <v>16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19519.916666666668</v>
          </cell>
          <cell r="E9">
            <v>19202</v>
          </cell>
          <cell r="F9">
            <v>19251</v>
          </cell>
          <cell r="G9">
            <v>19320</v>
          </cell>
          <cell r="H9">
            <v>19336</v>
          </cell>
          <cell r="I9">
            <v>19363</v>
          </cell>
          <cell r="J9">
            <v>19386</v>
          </cell>
          <cell r="K9">
            <v>19451</v>
          </cell>
          <cell r="L9">
            <v>19513</v>
          </cell>
          <cell r="M9">
            <v>19622</v>
          </cell>
          <cell r="N9">
            <v>19731</v>
          </cell>
          <cell r="O9">
            <v>19975</v>
          </cell>
          <cell r="P9">
            <v>20089</v>
          </cell>
          <cell r="T9">
            <v>6</v>
          </cell>
          <cell r="U9" t="str">
            <v>Total customers</v>
          </cell>
          <cell r="V9">
            <v>18825</v>
          </cell>
          <cell r="W9">
            <v>225895</v>
          </cell>
          <cell r="X9">
            <v>18445</v>
          </cell>
          <cell r="Y9">
            <v>18536</v>
          </cell>
          <cell r="Z9">
            <v>18623</v>
          </cell>
          <cell r="AA9">
            <v>18785</v>
          </cell>
          <cell r="AB9">
            <v>18744</v>
          </cell>
          <cell r="AC9">
            <v>18768</v>
          </cell>
          <cell r="AD9">
            <v>18838</v>
          </cell>
          <cell r="AE9">
            <v>18947</v>
          </cell>
          <cell r="AF9">
            <v>18957</v>
          </cell>
          <cell r="AG9">
            <v>18979</v>
          </cell>
          <cell r="AH9">
            <v>19082</v>
          </cell>
          <cell r="AI9">
            <v>19191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- 2020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354511.05755185924</v>
          </cell>
          <cell r="E12">
            <v>48469.724413282704</v>
          </cell>
          <cell r="F12">
            <v>44225.36079462526</v>
          </cell>
          <cell r="G12">
            <v>42846.917908268282</v>
          </cell>
          <cell r="H12">
            <v>27839.224851495448</v>
          </cell>
          <cell r="I12">
            <v>24066.89258934696</v>
          </cell>
          <cell r="J12">
            <v>19503.674164962806</v>
          </cell>
          <cell r="K12">
            <v>19960.041873600618</v>
          </cell>
          <cell r="L12">
            <v>17283.354757034784</v>
          </cell>
          <cell r="M12">
            <v>18023.866978283582</v>
          </cell>
          <cell r="N12">
            <v>19676.744571039442</v>
          </cell>
          <cell r="O12">
            <v>25377.381439284229</v>
          </cell>
          <cell r="P12">
            <v>47237.873210635102</v>
          </cell>
          <cell r="T12">
            <v>9</v>
          </cell>
          <cell r="U12" t="str">
            <v>Residential</v>
          </cell>
          <cell r="W12">
            <v>352104.10653422866</v>
          </cell>
          <cell r="X12">
            <v>47993.962411140325</v>
          </cell>
          <cell r="Y12">
            <v>44089.784789171288</v>
          </cell>
          <cell r="Z12">
            <v>37307.137988119583</v>
          </cell>
          <cell r="AA12">
            <v>36187.360015580874</v>
          </cell>
          <cell r="AB12">
            <v>25590.125620800467</v>
          </cell>
          <cell r="AC12">
            <v>19355.039439088803</v>
          </cell>
          <cell r="AD12">
            <v>16172.558184828124</v>
          </cell>
          <cell r="AE12">
            <v>18054.654786249965</v>
          </cell>
          <cell r="AF12">
            <v>17194.665498100127</v>
          </cell>
          <cell r="AG12">
            <v>19854.169831531879</v>
          </cell>
          <cell r="AH12">
            <v>27968.730158729955</v>
          </cell>
          <cell r="AI12">
            <v>42335.91781088728</v>
          </cell>
        </row>
        <row r="13">
          <cell r="A13">
            <v>10</v>
          </cell>
          <cell r="B13" t="str">
            <v>Commercial</v>
          </cell>
          <cell r="D13">
            <v>4308163.058720422</v>
          </cell>
          <cell r="E13">
            <v>390999.03398578259</v>
          </cell>
          <cell r="F13">
            <v>383474.78624987829</v>
          </cell>
          <cell r="G13">
            <v>393238.17995910032</v>
          </cell>
          <cell r="H13">
            <v>327620.69334891427</v>
          </cell>
          <cell r="I13">
            <v>345941.39740967972</v>
          </cell>
          <cell r="J13">
            <v>323508.76132047916</v>
          </cell>
          <cell r="K13">
            <v>314537.69987340545</v>
          </cell>
          <cell r="L13">
            <v>358198.20235660736</v>
          </cell>
          <cell r="M13">
            <v>347100.54046158341</v>
          </cell>
          <cell r="N13">
            <v>370535.7892686727</v>
          </cell>
          <cell r="O13">
            <v>346066.17294770683</v>
          </cell>
          <cell r="P13">
            <v>406941.80153861135</v>
          </cell>
          <cell r="T13">
            <v>10</v>
          </cell>
          <cell r="U13" t="str">
            <v>Commercial</v>
          </cell>
          <cell r="W13">
            <v>4475776.0278508132</v>
          </cell>
          <cell r="X13">
            <v>426088.71360405104</v>
          </cell>
          <cell r="Y13">
            <v>382196.22163793945</v>
          </cell>
          <cell r="Z13">
            <v>407767.35806797154</v>
          </cell>
          <cell r="AA13">
            <v>371572.40237608337</v>
          </cell>
          <cell r="AB13">
            <v>381325.25075469859</v>
          </cell>
          <cell r="AC13">
            <v>361014.52527023084</v>
          </cell>
          <cell r="AD13">
            <v>357188.7233420976</v>
          </cell>
          <cell r="AE13">
            <v>349571.08189697156</v>
          </cell>
          <cell r="AF13">
            <v>311514.06758204306</v>
          </cell>
          <cell r="AG13">
            <v>360622.00993280747</v>
          </cell>
          <cell r="AH13">
            <v>378829.50433343073</v>
          </cell>
          <cell r="AI13">
            <v>388086.16905248811</v>
          </cell>
        </row>
        <row r="14">
          <cell r="A14">
            <v>11</v>
          </cell>
          <cell r="B14" t="str">
            <v xml:space="preserve">Industrial </v>
          </cell>
          <cell r="D14">
            <v>26840112.118025128</v>
          </cell>
          <cell r="E14">
            <v>2684633.4131853152</v>
          </cell>
          <cell r="F14">
            <v>2218233.5475703576</v>
          </cell>
          <cell r="G14">
            <v>2609445.0696270335</v>
          </cell>
          <cell r="H14">
            <v>2506942.1501606782</v>
          </cell>
          <cell r="I14">
            <v>2391143.1707079564</v>
          </cell>
          <cell r="J14">
            <v>2212787.5839906516</v>
          </cell>
          <cell r="K14">
            <v>2013464.859285227</v>
          </cell>
          <cell r="L14">
            <v>2051031.803486221</v>
          </cell>
          <cell r="M14">
            <v>1777732.9087545041</v>
          </cell>
          <cell r="N14">
            <v>2214680.8598695109</v>
          </cell>
          <cell r="O14">
            <v>2005467.3084039344</v>
          </cell>
          <cell r="P14">
            <v>2154549.4429837377</v>
          </cell>
          <cell r="T14">
            <v>11</v>
          </cell>
          <cell r="U14" t="str">
            <v xml:space="preserve">Industrial </v>
          </cell>
          <cell r="W14">
            <v>27768125.251728505</v>
          </cell>
          <cell r="X14">
            <v>2620432.7587885871</v>
          </cell>
          <cell r="Y14">
            <v>2190278.118609407</v>
          </cell>
          <cell r="Z14">
            <v>2331026.3608920048</v>
          </cell>
          <cell r="AA14">
            <v>2148051.5142662381</v>
          </cell>
          <cell r="AB14">
            <v>2503051.8064076346</v>
          </cell>
          <cell r="AC14">
            <v>2229507.0630051615</v>
          </cell>
          <cell r="AD14">
            <v>2250134.2876618952</v>
          </cell>
          <cell r="AE14">
            <v>2412745.4055896392</v>
          </cell>
          <cell r="AF14">
            <v>2172812.8970688484</v>
          </cell>
          <cell r="AG14">
            <v>2158220.1986561497</v>
          </cell>
          <cell r="AH14">
            <v>2199121.8560716729</v>
          </cell>
          <cell r="AI14">
            <v>2552742.9847112675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31502786.23429741</v>
          </cell>
          <cell r="E16">
            <v>3124102.1715843803</v>
          </cell>
          <cell r="F16">
            <v>2645933.6946148612</v>
          </cell>
          <cell r="G16">
            <v>3045530.1674944023</v>
          </cell>
          <cell r="H16">
            <v>2862402.0683610877</v>
          </cell>
          <cell r="I16">
            <v>2761151.4607069832</v>
          </cell>
          <cell r="J16">
            <v>2555800.0194760934</v>
          </cell>
          <cell r="K16">
            <v>2347962.6010322329</v>
          </cell>
          <cell r="L16">
            <v>2426513.3605998633</v>
          </cell>
          <cell r="M16">
            <v>2142857.3161943709</v>
          </cell>
          <cell r="N16">
            <v>2604893.3937092228</v>
          </cell>
          <cell r="O16">
            <v>2376910.8627909254</v>
          </cell>
          <cell r="P16">
            <v>2608729.117732984</v>
          </cell>
          <cell r="T16">
            <v>13</v>
          </cell>
          <cell r="U16" t="str">
            <v>Total Deliveries</v>
          </cell>
          <cell r="W16">
            <v>32596005.386113547</v>
          </cell>
          <cell r="X16">
            <v>3094515.4348037783</v>
          </cell>
          <cell r="Y16">
            <v>2616564.1250365176</v>
          </cell>
          <cell r="Z16">
            <v>2776100.8569480958</v>
          </cell>
          <cell r="AA16">
            <v>2555811.2766579022</v>
          </cell>
          <cell r="AB16">
            <v>2909967.1827831338</v>
          </cell>
          <cell r="AC16">
            <v>2609876.6277144812</v>
          </cell>
          <cell r="AD16">
            <v>2623495.5691888211</v>
          </cell>
          <cell r="AE16">
            <v>2780371.1422728607</v>
          </cell>
          <cell r="AF16">
            <v>2501521.6301489915</v>
          </cell>
          <cell r="AG16">
            <v>2538696.3784204889</v>
          </cell>
          <cell r="AH16">
            <v>2605920.0905638337</v>
          </cell>
          <cell r="AI16">
            <v>2983165.0715746428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- 2020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364048</v>
          </cell>
          <cell r="E21">
            <v>49774</v>
          </cell>
          <cell r="F21">
            <v>45415</v>
          </cell>
          <cell r="G21">
            <v>44000</v>
          </cell>
          <cell r="H21">
            <v>28588</v>
          </cell>
          <cell r="I21">
            <v>24714</v>
          </cell>
          <cell r="J21">
            <v>20028</v>
          </cell>
          <cell r="K21">
            <v>20497</v>
          </cell>
          <cell r="L21">
            <v>17748</v>
          </cell>
          <cell r="M21">
            <v>18509</v>
          </cell>
          <cell r="N21">
            <v>20206</v>
          </cell>
          <cell r="O21">
            <v>26060</v>
          </cell>
          <cell r="P21">
            <v>48509</v>
          </cell>
          <cell r="T21">
            <v>18</v>
          </cell>
          <cell r="U21" t="str">
            <v>Residential</v>
          </cell>
          <cell r="W21">
            <v>361577</v>
          </cell>
          <cell r="X21">
            <v>49285</v>
          </cell>
          <cell r="Y21">
            <v>45276</v>
          </cell>
          <cell r="Z21">
            <v>38311</v>
          </cell>
          <cell r="AA21">
            <v>37161</v>
          </cell>
          <cell r="AB21">
            <v>26279</v>
          </cell>
          <cell r="AC21">
            <v>19876</v>
          </cell>
          <cell r="AD21">
            <v>16608</v>
          </cell>
          <cell r="AE21">
            <v>18540</v>
          </cell>
          <cell r="AF21">
            <v>17657</v>
          </cell>
          <cell r="AG21">
            <v>20388</v>
          </cell>
          <cell r="AH21">
            <v>28721</v>
          </cell>
          <cell r="AI21">
            <v>43475</v>
          </cell>
        </row>
        <row r="22">
          <cell r="A22">
            <v>19</v>
          </cell>
          <cell r="B22" t="str">
            <v>Commercial</v>
          </cell>
          <cell r="D22">
            <v>4424053</v>
          </cell>
          <cell r="E22">
            <v>401517</v>
          </cell>
          <cell r="F22">
            <v>393790</v>
          </cell>
          <cell r="G22">
            <v>403816</v>
          </cell>
          <cell r="H22">
            <v>336434</v>
          </cell>
          <cell r="I22">
            <v>355247</v>
          </cell>
          <cell r="J22">
            <v>332211</v>
          </cell>
          <cell r="K22">
            <v>322999</v>
          </cell>
          <cell r="L22">
            <v>367834</v>
          </cell>
          <cell r="M22">
            <v>356438</v>
          </cell>
          <cell r="N22">
            <v>380503</v>
          </cell>
          <cell r="O22">
            <v>355375</v>
          </cell>
          <cell r="P22">
            <v>417889</v>
          </cell>
          <cell r="T22">
            <v>19</v>
          </cell>
          <cell r="U22" t="str">
            <v>Commercial</v>
          </cell>
          <cell r="W22">
            <v>4596176</v>
          </cell>
          <cell r="X22">
            <v>437551</v>
          </cell>
          <cell r="Y22">
            <v>392477</v>
          </cell>
          <cell r="Z22">
            <v>418736</v>
          </cell>
          <cell r="AA22">
            <v>381568</v>
          </cell>
          <cell r="AB22">
            <v>391583</v>
          </cell>
          <cell r="AC22">
            <v>370726</v>
          </cell>
          <cell r="AD22">
            <v>366797</v>
          </cell>
          <cell r="AE22">
            <v>358975</v>
          </cell>
          <cell r="AF22">
            <v>319894</v>
          </cell>
          <cell r="AG22">
            <v>370323</v>
          </cell>
          <cell r="AH22">
            <v>389020</v>
          </cell>
          <cell r="AI22">
            <v>398526</v>
          </cell>
        </row>
        <row r="23">
          <cell r="A23">
            <v>20</v>
          </cell>
          <cell r="B23" t="str">
            <v xml:space="preserve">Industrial </v>
          </cell>
          <cell r="D23">
            <v>27562112</v>
          </cell>
          <cell r="E23">
            <v>2756850</v>
          </cell>
          <cell r="F23">
            <v>2277904</v>
          </cell>
          <cell r="G23">
            <v>2679639</v>
          </cell>
          <cell r="H23">
            <v>2574379</v>
          </cell>
          <cell r="I23">
            <v>2455465</v>
          </cell>
          <cell r="J23">
            <v>2272312</v>
          </cell>
          <cell r="K23">
            <v>2067627</v>
          </cell>
          <cell r="L23">
            <v>2106205</v>
          </cell>
          <cell r="M23">
            <v>1825554</v>
          </cell>
          <cell r="N23">
            <v>2274256</v>
          </cell>
          <cell r="O23">
            <v>2059414</v>
          </cell>
          <cell r="P23">
            <v>2212507</v>
          </cell>
          <cell r="T23">
            <v>20</v>
          </cell>
          <cell r="U23" t="str">
            <v xml:space="preserve">Industrial </v>
          </cell>
          <cell r="W23">
            <v>28515088</v>
          </cell>
          <cell r="X23">
            <v>2690922</v>
          </cell>
          <cell r="Y23">
            <v>2249197</v>
          </cell>
          <cell r="Z23">
            <v>2393731</v>
          </cell>
          <cell r="AA23">
            <v>2205834</v>
          </cell>
          <cell r="AB23">
            <v>2570384</v>
          </cell>
          <cell r="AC23">
            <v>2289481</v>
          </cell>
          <cell r="AD23">
            <v>2310663</v>
          </cell>
          <cell r="AE23">
            <v>2477648</v>
          </cell>
          <cell r="AF23">
            <v>2231262</v>
          </cell>
          <cell r="AG23">
            <v>2216276</v>
          </cell>
          <cell r="AH23">
            <v>2258278</v>
          </cell>
          <cell r="AI23">
            <v>2621412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32350213</v>
          </cell>
          <cell r="E25">
            <v>3208141</v>
          </cell>
          <cell r="F25">
            <v>2717109</v>
          </cell>
          <cell r="G25">
            <v>3127455</v>
          </cell>
          <cell r="H25">
            <v>2939401</v>
          </cell>
          <cell r="I25">
            <v>2835426</v>
          </cell>
          <cell r="J25">
            <v>2624551</v>
          </cell>
          <cell r="K25">
            <v>2411123</v>
          </cell>
          <cell r="L25">
            <v>2491787</v>
          </cell>
          <cell r="M25">
            <v>2200501</v>
          </cell>
          <cell r="N25">
            <v>2674965</v>
          </cell>
          <cell r="O25">
            <v>2440849</v>
          </cell>
          <cell r="P25">
            <v>2678905</v>
          </cell>
          <cell r="T25">
            <v>22</v>
          </cell>
          <cell r="U25" t="str">
            <v>Total Deliveries</v>
          </cell>
          <cell r="W25">
            <v>33472841</v>
          </cell>
          <cell r="X25">
            <v>3177758</v>
          </cell>
          <cell r="Y25">
            <v>2686950</v>
          </cell>
          <cell r="Z25">
            <v>2850778</v>
          </cell>
          <cell r="AA25">
            <v>2624563</v>
          </cell>
          <cell r="AB25">
            <v>2988246</v>
          </cell>
          <cell r="AC25">
            <v>2680083</v>
          </cell>
          <cell r="AD25">
            <v>2694068</v>
          </cell>
          <cell r="AE25">
            <v>2855163</v>
          </cell>
          <cell r="AF25">
            <v>2568813</v>
          </cell>
          <cell r="AG25">
            <v>2606987</v>
          </cell>
          <cell r="AH25">
            <v>2676019</v>
          </cell>
          <cell r="AI25">
            <v>3063413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18821</v>
          </cell>
          <cell r="F28">
            <v>18899</v>
          </cell>
          <cell r="G28">
            <v>18999</v>
          </cell>
          <cell r="H28">
            <v>19127</v>
          </cell>
          <cell r="I28">
            <v>19070</v>
          </cell>
          <cell r="J28">
            <v>19078</v>
          </cell>
          <cell r="K28">
            <v>19098</v>
          </cell>
          <cell r="L28">
            <v>19127</v>
          </cell>
          <cell r="M28">
            <v>19212</v>
          </cell>
          <cell r="N28">
            <v>19248</v>
          </cell>
          <cell r="O28">
            <v>19443</v>
          </cell>
          <cell r="P28">
            <v>19528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2022236.5167625216</v>
          </cell>
          <cell r="F29">
            <v>1997108.0127402917</v>
          </cell>
          <cell r="G29">
            <v>1927212.1577765066</v>
          </cell>
          <cell r="H29">
            <v>1742069.9793293159</v>
          </cell>
          <cell r="I29">
            <v>1870366.5942816499</v>
          </cell>
          <cell r="J29">
            <v>2071677.0849738475</v>
          </cell>
          <cell r="K29">
            <v>1878814.0027848775</v>
          </cell>
          <cell r="L29">
            <v>1905555.2634792016</v>
          </cell>
          <cell r="M29">
            <v>1765846.6310200565</v>
          </cell>
          <cell r="N29">
            <v>1896217.653723028</v>
          </cell>
          <cell r="O29">
            <v>1917108.7490279872</v>
          </cell>
          <cell r="P29">
            <v>1976777.1936133918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2076635</v>
          </cell>
          <cell r="F30">
            <v>2050830</v>
          </cell>
          <cell r="G30">
            <v>1979054</v>
          </cell>
          <cell r="H30">
            <v>1788932</v>
          </cell>
          <cell r="I30">
            <v>1920679</v>
          </cell>
          <cell r="J30">
            <v>2127405</v>
          </cell>
          <cell r="K30">
            <v>1929354</v>
          </cell>
          <cell r="L30">
            <v>1956815</v>
          </cell>
          <cell r="M30">
            <v>1813348</v>
          </cell>
          <cell r="N30">
            <v>1947226</v>
          </cell>
          <cell r="O30">
            <v>1968679</v>
          </cell>
          <cell r="P30">
            <v>2029953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17606</v>
          </cell>
          <cell r="F34">
            <v>17631</v>
          </cell>
          <cell r="G34">
            <v>17661</v>
          </cell>
          <cell r="H34">
            <v>17679</v>
          </cell>
          <cell r="I34">
            <v>17696</v>
          </cell>
          <cell r="J34">
            <v>17712</v>
          </cell>
          <cell r="K34">
            <v>17733</v>
          </cell>
          <cell r="L34">
            <v>17755</v>
          </cell>
          <cell r="M34">
            <v>17784</v>
          </cell>
          <cell r="N34">
            <v>17818</v>
          </cell>
          <cell r="O34">
            <v>17868</v>
          </cell>
          <cell r="P34">
            <v>17920</v>
          </cell>
          <cell r="T34">
            <v>31</v>
          </cell>
          <cell r="U34" t="str">
            <v>Residential</v>
          </cell>
          <cell r="X34">
            <v>16901</v>
          </cell>
          <cell r="Y34">
            <v>16947</v>
          </cell>
          <cell r="Z34">
            <v>16988</v>
          </cell>
          <cell r="AA34">
            <v>17046</v>
          </cell>
          <cell r="AB34">
            <v>17074</v>
          </cell>
          <cell r="AC34">
            <v>17097</v>
          </cell>
          <cell r="AD34">
            <v>17121</v>
          </cell>
          <cell r="AE34">
            <v>17151</v>
          </cell>
          <cell r="AF34">
            <v>17178</v>
          </cell>
          <cell r="AG34">
            <v>17202</v>
          </cell>
          <cell r="AH34">
            <v>17230</v>
          </cell>
          <cell r="AI34">
            <v>17262</v>
          </cell>
        </row>
        <row r="35">
          <cell r="A35">
            <v>32</v>
          </cell>
          <cell r="B35" t="str">
            <v>Commercial</v>
          </cell>
          <cell r="E35">
            <v>1580</v>
          </cell>
          <cell r="F35">
            <v>1580</v>
          </cell>
          <cell r="G35">
            <v>1581</v>
          </cell>
          <cell r="H35">
            <v>1582</v>
          </cell>
          <cell r="I35">
            <v>1583</v>
          </cell>
          <cell r="J35">
            <v>1582</v>
          </cell>
          <cell r="K35">
            <v>1581</v>
          </cell>
          <cell r="L35">
            <v>1582</v>
          </cell>
          <cell r="M35">
            <v>1582</v>
          </cell>
          <cell r="N35">
            <v>1583</v>
          </cell>
          <cell r="O35">
            <v>1584</v>
          </cell>
          <cell r="P35">
            <v>1584</v>
          </cell>
          <cell r="T35">
            <v>32</v>
          </cell>
          <cell r="U35" t="str">
            <v>Commercial</v>
          </cell>
          <cell r="X35">
            <v>1527</v>
          </cell>
          <cell r="Y35">
            <v>1527</v>
          </cell>
          <cell r="Z35">
            <v>1529</v>
          </cell>
          <cell r="AA35">
            <v>1534</v>
          </cell>
          <cell r="AB35">
            <v>1536</v>
          </cell>
          <cell r="AC35">
            <v>1537</v>
          </cell>
          <cell r="AD35">
            <v>1539</v>
          </cell>
          <cell r="AE35">
            <v>1543</v>
          </cell>
          <cell r="AF35">
            <v>1543</v>
          </cell>
          <cell r="AG35">
            <v>1543</v>
          </cell>
          <cell r="AH35">
            <v>1544</v>
          </cell>
          <cell r="AI35">
            <v>1546</v>
          </cell>
        </row>
        <row r="36">
          <cell r="A36">
            <v>33</v>
          </cell>
          <cell r="B36" t="str">
            <v xml:space="preserve">Industrial </v>
          </cell>
          <cell r="E36">
            <v>16</v>
          </cell>
          <cell r="F36">
            <v>16</v>
          </cell>
          <cell r="G36">
            <v>16</v>
          </cell>
          <cell r="H36">
            <v>16</v>
          </cell>
          <cell r="I36">
            <v>16</v>
          </cell>
          <cell r="J36">
            <v>16</v>
          </cell>
          <cell r="K36">
            <v>16</v>
          </cell>
          <cell r="L36">
            <v>16</v>
          </cell>
          <cell r="M36">
            <v>16</v>
          </cell>
          <cell r="N36">
            <v>16</v>
          </cell>
          <cell r="O36">
            <v>16</v>
          </cell>
          <cell r="P36">
            <v>16</v>
          </cell>
          <cell r="T36">
            <v>33</v>
          </cell>
          <cell r="U36" t="str">
            <v xml:space="preserve">Industrial </v>
          </cell>
          <cell r="X36">
            <v>17</v>
          </cell>
          <cell r="Y36">
            <v>17</v>
          </cell>
          <cell r="Z36">
            <v>17</v>
          </cell>
          <cell r="AA36">
            <v>17</v>
          </cell>
          <cell r="AB36">
            <v>17</v>
          </cell>
          <cell r="AC36">
            <v>17</v>
          </cell>
          <cell r="AD36">
            <v>17</v>
          </cell>
          <cell r="AE36">
            <v>17</v>
          </cell>
          <cell r="AF36">
            <v>17</v>
          </cell>
          <cell r="AG36">
            <v>17</v>
          </cell>
          <cell r="AH36">
            <v>17</v>
          </cell>
          <cell r="AI36">
            <v>17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19202</v>
          </cell>
          <cell r="F38">
            <v>19227</v>
          </cell>
          <cell r="G38">
            <v>19258</v>
          </cell>
          <cell r="H38">
            <v>19277</v>
          </cell>
          <cell r="I38">
            <v>19295</v>
          </cell>
          <cell r="J38">
            <v>19310</v>
          </cell>
          <cell r="K38">
            <v>19330</v>
          </cell>
          <cell r="L38">
            <v>19353</v>
          </cell>
          <cell r="M38">
            <v>19382</v>
          </cell>
          <cell r="N38">
            <v>19417</v>
          </cell>
          <cell r="O38">
            <v>19468</v>
          </cell>
          <cell r="P38">
            <v>19520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18445</v>
          </cell>
          <cell r="Y38">
            <v>18491</v>
          </cell>
          <cell r="Z38">
            <v>18534</v>
          </cell>
          <cell r="AA38">
            <v>18597</v>
          </cell>
          <cell r="AB38">
            <v>18627</v>
          </cell>
          <cell r="AC38">
            <v>18651</v>
          </cell>
          <cell r="AD38">
            <v>18677</v>
          </cell>
          <cell r="AE38">
            <v>18711</v>
          </cell>
          <cell r="AF38">
            <v>18738</v>
          </cell>
          <cell r="AG38">
            <v>18762</v>
          </cell>
          <cell r="AH38">
            <v>18791</v>
          </cell>
          <cell r="AI38">
            <v>18825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48469.724413282704</v>
          </cell>
          <cell r="F41">
            <v>92695.085207907963</v>
          </cell>
          <cell r="G41">
            <v>135542.00311617623</v>
          </cell>
          <cell r="H41">
            <v>163381.22796767167</v>
          </cell>
          <cell r="I41">
            <v>187448.12055701864</v>
          </cell>
          <cell r="J41">
            <v>206951.79472198145</v>
          </cell>
          <cell r="K41">
            <v>226911.83659558208</v>
          </cell>
          <cell r="L41">
            <v>244195.19135261685</v>
          </cell>
          <cell r="M41">
            <v>262219.05833090044</v>
          </cell>
          <cell r="N41">
            <v>281895.8029019399</v>
          </cell>
          <cell r="O41">
            <v>307273.18434122414</v>
          </cell>
          <cell r="P41">
            <v>354511.05755185924</v>
          </cell>
          <cell r="T41">
            <v>38</v>
          </cell>
          <cell r="U41" t="str">
            <v>Residential</v>
          </cell>
          <cell r="X41">
            <v>47993.962411140325</v>
          </cell>
          <cell r="Y41">
            <v>92083.747200311613</v>
          </cell>
          <cell r="Z41">
            <v>129390.88518843119</v>
          </cell>
          <cell r="AA41">
            <v>165578.24520401206</v>
          </cell>
          <cell r="AB41">
            <v>191168.37082481253</v>
          </cell>
          <cell r="AC41">
            <v>210523.41026390134</v>
          </cell>
          <cell r="AD41">
            <v>226695.96844872946</v>
          </cell>
          <cell r="AE41">
            <v>244750.62323497943</v>
          </cell>
          <cell r="AF41">
            <v>261945.28873307956</v>
          </cell>
          <cell r="AG41">
            <v>281799.45856461144</v>
          </cell>
          <cell r="AH41">
            <v>309768.18872334139</v>
          </cell>
          <cell r="AI41">
            <v>352104.10653422866</v>
          </cell>
        </row>
        <row r="42">
          <cell r="A42">
            <v>39</v>
          </cell>
          <cell r="B42" t="str">
            <v>Commercial</v>
          </cell>
          <cell r="E42">
            <v>390999.03398578259</v>
          </cell>
          <cell r="F42">
            <v>774473.82023566088</v>
          </cell>
          <cell r="G42">
            <v>1167712.0001947612</v>
          </cell>
          <cell r="H42">
            <v>1495332.6935436754</v>
          </cell>
          <cell r="I42">
            <v>1841274.0909533552</v>
          </cell>
          <cell r="J42">
            <v>2164782.8522738344</v>
          </cell>
          <cell r="K42">
            <v>2479320.5521472399</v>
          </cell>
          <cell r="L42">
            <v>2837518.7545038471</v>
          </cell>
          <cell r="M42">
            <v>3184619.2949654306</v>
          </cell>
          <cell r="N42">
            <v>3555155.0842341036</v>
          </cell>
          <cell r="O42">
            <v>3901221.2571818102</v>
          </cell>
          <cell r="P42">
            <v>4308163.058720422</v>
          </cell>
          <cell r="T42">
            <v>39</v>
          </cell>
          <cell r="U42" t="str">
            <v>Commercial</v>
          </cell>
          <cell r="X42">
            <v>426088.71360405104</v>
          </cell>
          <cell r="Y42">
            <v>808284.93524199049</v>
          </cell>
          <cell r="Z42">
            <v>1216052.2933099619</v>
          </cell>
          <cell r="AA42">
            <v>1587624.6956860453</v>
          </cell>
          <cell r="AB42">
            <v>1968949.946440744</v>
          </cell>
          <cell r="AC42">
            <v>2329964.4717109748</v>
          </cell>
          <cell r="AD42">
            <v>2687153.1950530726</v>
          </cell>
          <cell r="AE42">
            <v>3036724.2769500441</v>
          </cell>
          <cell r="AF42">
            <v>3348238.344532087</v>
          </cell>
          <cell r="AG42">
            <v>3708860.3544648946</v>
          </cell>
          <cell r="AH42">
            <v>4087689.8587983255</v>
          </cell>
          <cell r="AI42">
            <v>4475776.0278508132</v>
          </cell>
        </row>
        <row r="43">
          <cell r="A43">
            <v>40</v>
          </cell>
          <cell r="B43" t="str">
            <v xml:space="preserve">Industrial </v>
          </cell>
          <cell r="E43">
            <v>2684633.4131853152</v>
          </cell>
          <cell r="F43">
            <v>4902866.9607556723</v>
          </cell>
          <cell r="G43">
            <v>7512312.0303827059</v>
          </cell>
          <cell r="H43">
            <v>10019254.180543384</v>
          </cell>
          <cell r="I43">
            <v>12410397.35125134</v>
          </cell>
          <cell r="J43">
            <v>14623184.935241992</v>
          </cell>
          <cell r="K43">
            <v>16636649.794527218</v>
          </cell>
          <cell r="L43">
            <v>18687681.598013438</v>
          </cell>
          <cell r="M43">
            <v>20465414.506767944</v>
          </cell>
          <cell r="N43">
            <v>22680095.366637453</v>
          </cell>
          <cell r="O43">
            <v>24685562.675041389</v>
          </cell>
          <cell r="P43">
            <v>26840112.118025128</v>
          </cell>
          <cell r="T43">
            <v>40</v>
          </cell>
          <cell r="U43" t="str">
            <v xml:space="preserve">Industrial </v>
          </cell>
          <cell r="X43">
            <v>2620432.7587885871</v>
          </cell>
          <cell r="Y43">
            <v>4810710.8773979936</v>
          </cell>
          <cell r="Z43">
            <v>7141737.2382899988</v>
          </cell>
          <cell r="AA43">
            <v>9289788.7525562365</v>
          </cell>
          <cell r="AB43">
            <v>11792840.558963871</v>
          </cell>
          <cell r="AC43">
            <v>14022347.621969033</v>
          </cell>
          <cell r="AD43">
            <v>16272481.909630928</v>
          </cell>
          <cell r="AE43">
            <v>18685227.315220568</v>
          </cell>
          <cell r="AF43">
            <v>20858040.212289415</v>
          </cell>
          <cell r="AG43">
            <v>23016260.410945565</v>
          </cell>
          <cell r="AH43">
            <v>25215382.267017238</v>
          </cell>
          <cell r="AI43">
            <v>27768125.251728505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3124102.1715843803</v>
          </cell>
          <cell r="F45">
            <v>5770035.866199241</v>
          </cell>
          <cell r="G45">
            <v>8815566.0336936433</v>
          </cell>
          <cell r="H45">
            <v>11677968.10205473</v>
          </cell>
          <cell r="I45">
            <v>14439119.562761713</v>
          </cell>
          <cell r="J45">
            <v>16994919.582237806</v>
          </cell>
          <cell r="K45">
            <v>19342882.183270041</v>
          </cell>
          <cell r="L45">
            <v>21769395.543869901</v>
          </cell>
          <cell r="M45">
            <v>23912252.860064276</v>
          </cell>
          <cell r="N45">
            <v>26517146.253773496</v>
          </cell>
          <cell r="O45">
            <v>28894057.116564423</v>
          </cell>
          <cell r="P45">
            <v>31502786.23429741</v>
          </cell>
          <cell r="T45">
            <v>42</v>
          </cell>
          <cell r="U45" t="str">
            <v>Total Volume</v>
          </cell>
          <cell r="X45">
            <v>3094515.4348037783</v>
          </cell>
          <cell r="Y45">
            <v>5711079.5598402955</v>
          </cell>
          <cell r="Z45">
            <v>8487180.4167883918</v>
          </cell>
          <cell r="AA45">
            <v>11042991.693446293</v>
          </cell>
          <cell r="AB45">
            <v>13952958.876229428</v>
          </cell>
          <cell r="AC45">
            <v>16562835.503943909</v>
          </cell>
          <cell r="AD45">
            <v>19186331.073132731</v>
          </cell>
          <cell r="AE45">
            <v>21966702.215405591</v>
          </cell>
          <cell r="AF45">
            <v>24468223.845554583</v>
          </cell>
          <cell r="AG45">
            <v>27006920.22397507</v>
          </cell>
          <cell r="AH45">
            <v>29612840.314538904</v>
          </cell>
          <cell r="AI45">
            <v>32596005.386113547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- 2020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- 2018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49774</v>
          </cell>
          <cell r="F48">
            <v>95189</v>
          </cell>
          <cell r="G48">
            <v>139189</v>
          </cell>
          <cell r="H48">
            <v>167777</v>
          </cell>
          <cell r="I48">
            <v>192491</v>
          </cell>
          <cell r="J48">
            <v>212519</v>
          </cell>
          <cell r="K48">
            <v>233016</v>
          </cell>
          <cell r="L48">
            <v>250764</v>
          </cell>
          <cell r="M48">
            <v>269273</v>
          </cell>
          <cell r="N48">
            <v>289479</v>
          </cell>
          <cell r="O48">
            <v>315539</v>
          </cell>
          <cell r="P48">
            <v>364048</v>
          </cell>
          <cell r="T48">
            <v>45</v>
          </cell>
          <cell r="U48" t="str">
            <v>Residential</v>
          </cell>
          <cell r="X48">
            <v>49285</v>
          </cell>
          <cell r="Y48">
            <v>94561</v>
          </cell>
          <cell r="Z48">
            <v>132872</v>
          </cell>
          <cell r="AA48">
            <v>170033</v>
          </cell>
          <cell r="AB48">
            <v>196312</v>
          </cell>
          <cell r="AC48">
            <v>216188</v>
          </cell>
          <cell r="AD48">
            <v>232796</v>
          </cell>
          <cell r="AE48">
            <v>251336</v>
          </cell>
          <cell r="AF48">
            <v>268993</v>
          </cell>
          <cell r="AG48">
            <v>289381</v>
          </cell>
          <cell r="AH48">
            <v>318102</v>
          </cell>
          <cell r="AI48">
            <v>361577</v>
          </cell>
        </row>
        <row r="49">
          <cell r="A49">
            <v>46</v>
          </cell>
          <cell r="B49" t="str">
            <v>Commercial</v>
          </cell>
          <cell r="E49">
            <v>401517</v>
          </cell>
          <cell r="F49">
            <v>795307</v>
          </cell>
          <cell r="G49">
            <v>1199123</v>
          </cell>
          <cell r="H49">
            <v>1535557</v>
          </cell>
          <cell r="I49">
            <v>1890804</v>
          </cell>
          <cell r="J49">
            <v>2223015</v>
          </cell>
          <cell r="K49">
            <v>2546014</v>
          </cell>
          <cell r="L49">
            <v>2913848</v>
          </cell>
          <cell r="M49">
            <v>3270286</v>
          </cell>
          <cell r="N49">
            <v>3650789</v>
          </cell>
          <cell r="O49">
            <v>4006164</v>
          </cell>
          <cell r="P49">
            <v>4424053</v>
          </cell>
          <cell r="T49">
            <v>46</v>
          </cell>
          <cell r="U49" t="str">
            <v>Commercial</v>
          </cell>
          <cell r="X49">
            <v>437551</v>
          </cell>
          <cell r="Y49">
            <v>830028</v>
          </cell>
          <cell r="Z49">
            <v>1248764</v>
          </cell>
          <cell r="AA49">
            <v>1630332</v>
          </cell>
          <cell r="AB49">
            <v>2021915</v>
          </cell>
          <cell r="AC49">
            <v>2392641</v>
          </cell>
          <cell r="AD49">
            <v>2759438</v>
          </cell>
          <cell r="AE49">
            <v>3118413</v>
          </cell>
          <cell r="AF49">
            <v>3438307</v>
          </cell>
          <cell r="AG49">
            <v>3808630</v>
          </cell>
          <cell r="AH49">
            <v>4197650</v>
          </cell>
          <cell r="AI49">
            <v>4596176</v>
          </cell>
        </row>
        <row r="50">
          <cell r="A50">
            <v>47</v>
          </cell>
          <cell r="B50" t="str">
            <v xml:space="preserve">Industrial </v>
          </cell>
          <cell r="E50">
            <v>2756850</v>
          </cell>
          <cell r="F50">
            <v>5034754</v>
          </cell>
          <cell r="G50">
            <v>7714393</v>
          </cell>
          <cell r="H50">
            <v>10288772</v>
          </cell>
          <cell r="I50">
            <v>12744237</v>
          </cell>
          <cell r="J50">
            <v>15016549</v>
          </cell>
          <cell r="K50">
            <v>17084176</v>
          </cell>
          <cell r="L50">
            <v>19190381</v>
          </cell>
          <cell r="M50">
            <v>21015935</v>
          </cell>
          <cell r="N50">
            <v>23290191</v>
          </cell>
          <cell r="O50">
            <v>25349605</v>
          </cell>
          <cell r="P50">
            <v>27562112</v>
          </cell>
          <cell r="T50">
            <v>47</v>
          </cell>
          <cell r="U50" t="str">
            <v xml:space="preserve">Industrial </v>
          </cell>
          <cell r="X50">
            <v>2690922</v>
          </cell>
          <cell r="Y50">
            <v>4940119</v>
          </cell>
          <cell r="Z50">
            <v>7333850</v>
          </cell>
          <cell r="AA50">
            <v>9539684</v>
          </cell>
          <cell r="AB50">
            <v>12110068</v>
          </cell>
          <cell r="AC50">
            <v>14399549</v>
          </cell>
          <cell r="AD50">
            <v>16710212</v>
          </cell>
          <cell r="AE50">
            <v>19187860</v>
          </cell>
          <cell r="AF50">
            <v>21419122</v>
          </cell>
          <cell r="AG50">
            <v>23635398</v>
          </cell>
          <cell r="AH50">
            <v>25893676</v>
          </cell>
          <cell r="AI50">
            <v>28515088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3208141</v>
          </cell>
          <cell r="F52">
            <v>5925250</v>
          </cell>
          <cell r="G52">
            <v>9052705</v>
          </cell>
          <cell r="H52">
            <v>11992106</v>
          </cell>
          <cell r="I52">
            <v>14827532</v>
          </cell>
          <cell r="J52">
            <v>17452083</v>
          </cell>
          <cell r="K52">
            <v>19863206</v>
          </cell>
          <cell r="L52">
            <v>22354993</v>
          </cell>
          <cell r="M52">
            <v>24555494</v>
          </cell>
          <cell r="N52">
            <v>27230459</v>
          </cell>
          <cell r="O52">
            <v>29671308</v>
          </cell>
          <cell r="P52">
            <v>32350213</v>
          </cell>
          <cell r="T52">
            <v>49</v>
          </cell>
          <cell r="U52" t="str">
            <v>Total Volume</v>
          </cell>
          <cell r="W52">
            <v>0</v>
          </cell>
          <cell r="X52">
            <v>3177758</v>
          </cell>
          <cell r="Y52">
            <v>5864708</v>
          </cell>
          <cell r="Z52">
            <v>8715486</v>
          </cell>
          <cell r="AA52">
            <v>11340049</v>
          </cell>
          <cell r="AB52">
            <v>14328295</v>
          </cell>
          <cell r="AC52">
            <v>17008378</v>
          </cell>
          <cell r="AD52">
            <v>19702446</v>
          </cell>
          <cell r="AE52">
            <v>22557609</v>
          </cell>
          <cell r="AF52">
            <v>25126422</v>
          </cell>
          <cell r="AG52">
            <v>27733409</v>
          </cell>
          <cell r="AH52">
            <v>30409428</v>
          </cell>
          <cell r="AI52">
            <v>33472841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18821</v>
          </cell>
          <cell r="F55">
            <v>18860</v>
          </cell>
          <cell r="G55">
            <v>18906</v>
          </cell>
          <cell r="H55">
            <v>18962</v>
          </cell>
          <cell r="I55">
            <v>18983</v>
          </cell>
          <cell r="J55">
            <v>18999</v>
          </cell>
          <cell r="K55">
            <v>19013</v>
          </cell>
          <cell r="L55">
            <v>19027</v>
          </cell>
          <cell r="M55">
            <v>19048</v>
          </cell>
          <cell r="N55">
            <v>19068</v>
          </cell>
          <cell r="O55">
            <v>19102</v>
          </cell>
          <cell r="P55">
            <v>19138</v>
          </cell>
        </row>
        <row r="56">
          <cell r="A56">
            <v>53</v>
          </cell>
          <cell r="B56" t="str">
            <v>Cumulative Budget YTD Volume (Mcfs)</v>
          </cell>
          <cell r="E56">
            <v>2022236.5167625216</v>
          </cell>
          <cell r="F56">
            <v>4019344.5295028132</v>
          </cell>
          <cell r="G56">
            <v>5946556.6872793194</v>
          </cell>
          <cell r="H56">
            <v>7688626.6666086353</v>
          </cell>
          <cell r="I56">
            <v>9558993.2608902846</v>
          </cell>
          <cell r="J56">
            <v>11630670.345864132</v>
          </cell>
          <cell r="K56">
            <v>13509484.34864901</v>
          </cell>
          <cell r="L56">
            <v>15415039.612128211</v>
          </cell>
          <cell r="M56">
            <v>17180886.243148267</v>
          </cell>
          <cell r="N56">
            <v>19077103.896871295</v>
          </cell>
          <cell r="O56">
            <v>20994212.645899281</v>
          </cell>
          <cell r="P56">
            <v>22970989.839512672</v>
          </cell>
        </row>
        <row r="57">
          <cell r="A57">
            <v>54</v>
          </cell>
          <cell r="B57" t="str">
            <v>Cumulative YTD Budget Volume (Dts) * 1.0269</v>
          </cell>
          <cell r="E57">
            <v>2076635</v>
          </cell>
          <cell r="F57">
            <v>4127465</v>
          </cell>
          <cell r="G57">
            <v>6106519</v>
          </cell>
          <cell r="H57">
            <v>7895451</v>
          </cell>
          <cell r="I57">
            <v>9816130</v>
          </cell>
          <cell r="J57">
            <v>11943535</v>
          </cell>
          <cell r="K57">
            <v>13872889</v>
          </cell>
          <cell r="L57">
            <v>15829704</v>
          </cell>
          <cell r="M57">
            <v>17643052</v>
          </cell>
          <cell r="N57">
            <v>19590278</v>
          </cell>
          <cell r="O57">
            <v>21558957</v>
          </cell>
          <cell r="P57">
            <v>23588910</v>
          </cell>
        </row>
      </sheetData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60016</v>
          </cell>
          <cell r="D5">
            <v>720191</v>
          </cell>
          <cell r="E5">
            <v>58765</v>
          </cell>
          <cell r="F5">
            <v>58917</v>
          </cell>
          <cell r="G5">
            <v>59129</v>
          </cell>
          <cell r="H5">
            <v>59500</v>
          </cell>
          <cell r="I5">
            <v>59564</v>
          </cell>
          <cell r="J5">
            <v>59804</v>
          </cell>
          <cell r="K5">
            <v>60210</v>
          </cell>
          <cell r="L5">
            <v>60320</v>
          </cell>
          <cell r="M5">
            <v>60530</v>
          </cell>
          <cell r="N5">
            <v>60870</v>
          </cell>
          <cell r="O5">
            <v>61197</v>
          </cell>
          <cell r="P5">
            <v>61385</v>
          </cell>
          <cell r="T5">
            <v>2</v>
          </cell>
          <cell r="U5" t="str">
            <v>Residential</v>
          </cell>
          <cell r="X5">
            <v>56743</v>
          </cell>
          <cell r="Y5">
            <v>56797</v>
          </cell>
          <cell r="Z5">
            <v>56947</v>
          </cell>
          <cell r="AA5">
            <v>57433</v>
          </cell>
          <cell r="AB5">
            <v>57424</v>
          </cell>
          <cell r="AC5">
            <v>57654</v>
          </cell>
          <cell r="AD5">
            <v>58301</v>
          </cell>
          <cell r="AE5">
            <v>57785</v>
          </cell>
          <cell r="AF5">
            <v>57910</v>
          </cell>
          <cell r="AG5">
            <v>58017</v>
          </cell>
          <cell r="AH5">
            <v>58253</v>
          </cell>
          <cell r="AI5">
            <v>58571</v>
          </cell>
        </row>
        <row r="6">
          <cell r="A6">
            <v>3</v>
          </cell>
          <cell r="B6" t="str">
            <v>Commercial</v>
          </cell>
          <cell r="C6">
            <v>3990</v>
          </cell>
          <cell r="D6">
            <v>47879</v>
          </cell>
          <cell r="E6">
            <v>3978</v>
          </cell>
          <cell r="F6">
            <v>3977</v>
          </cell>
          <cell r="G6">
            <v>3988</v>
          </cell>
          <cell r="H6">
            <v>3997</v>
          </cell>
          <cell r="I6">
            <v>3966</v>
          </cell>
          <cell r="J6">
            <v>3979</v>
          </cell>
          <cell r="K6">
            <v>3994</v>
          </cell>
          <cell r="L6">
            <v>3977</v>
          </cell>
          <cell r="M6">
            <v>3982</v>
          </cell>
          <cell r="N6">
            <v>4003</v>
          </cell>
          <cell r="O6">
            <v>4015</v>
          </cell>
          <cell r="P6">
            <v>4023</v>
          </cell>
          <cell r="T6">
            <v>3</v>
          </cell>
          <cell r="U6" t="str">
            <v>Commercial</v>
          </cell>
          <cell r="X6">
            <v>3892</v>
          </cell>
          <cell r="Y6">
            <v>3901</v>
          </cell>
          <cell r="Z6">
            <v>3897</v>
          </cell>
          <cell r="AA6">
            <v>3942</v>
          </cell>
          <cell r="AB6">
            <v>3934</v>
          </cell>
          <cell r="AC6">
            <v>3935</v>
          </cell>
          <cell r="AD6">
            <v>3921</v>
          </cell>
          <cell r="AE6">
            <v>3940</v>
          </cell>
          <cell r="AF6">
            <v>3941</v>
          </cell>
          <cell r="AG6">
            <v>3957</v>
          </cell>
          <cell r="AH6">
            <v>3960</v>
          </cell>
          <cell r="AI6">
            <v>3961</v>
          </cell>
        </row>
        <row r="7">
          <cell r="A7">
            <v>4</v>
          </cell>
          <cell r="B7" t="str">
            <v xml:space="preserve">Industrial </v>
          </cell>
          <cell r="C7">
            <v>2514</v>
          </cell>
          <cell r="D7">
            <v>30163</v>
          </cell>
          <cell r="E7">
            <v>2493</v>
          </cell>
          <cell r="F7">
            <v>2501</v>
          </cell>
          <cell r="G7">
            <v>2499</v>
          </cell>
          <cell r="H7">
            <v>2513</v>
          </cell>
          <cell r="I7">
            <v>2517</v>
          </cell>
          <cell r="J7">
            <v>2523</v>
          </cell>
          <cell r="K7">
            <v>2522</v>
          </cell>
          <cell r="L7">
            <v>2517</v>
          </cell>
          <cell r="M7">
            <v>2514</v>
          </cell>
          <cell r="N7">
            <v>2526</v>
          </cell>
          <cell r="O7">
            <v>2519</v>
          </cell>
          <cell r="P7">
            <v>2519</v>
          </cell>
          <cell r="T7">
            <v>4</v>
          </cell>
          <cell r="U7" t="str">
            <v>Industrial firm</v>
          </cell>
          <cell r="X7">
            <v>2409</v>
          </cell>
          <cell r="Y7">
            <v>2415</v>
          </cell>
          <cell r="Z7">
            <v>2421</v>
          </cell>
          <cell r="AA7">
            <v>2433</v>
          </cell>
          <cell r="AB7">
            <v>2431</v>
          </cell>
          <cell r="AC7">
            <v>2440</v>
          </cell>
          <cell r="AD7">
            <v>2441</v>
          </cell>
          <cell r="AE7">
            <v>2436</v>
          </cell>
          <cell r="AF7">
            <v>2443</v>
          </cell>
          <cell r="AG7">
            <v>2445</v>
          </cell>
          <cell r="AH7">
            <v>2455</v>
          </cell>
          <cell r="AI7">
            <v>2465</v>
          </cell>
        </row>
        <row r="8">
          <cell r="A8">
            <v>5</v>
          </cell>
          <cell r="B8" t="str">
            <v>Other</v>
          </cell>
          <cell r="C8">
            <v>14</v>
          </cell>
          <cell r="D8">
            <v>171</v>
          </cell>
          <cell r="E8">
            <v>14</v>
          </cell>
          <cell r="F8">
            <v>14</v>
          </cell>
          <cell r="G8">
            <v>14</v>
          </cell>
          <cell r="H8">
            <v>14</v>
          </cell>
          <cell r="I8">
            <v>14</v>
          </cell>
          <cell r="J8">
            <v>14</v>
          </cell>
          <cell r="K8">
            <v>14</v>
          </cell>
          <cell r="L8">
            <v>14</v>
          </cell>
          <cell r="M8">
            <v>14</v>
          </cell>
          <cell r="N8">
            <v>15</v>
          </cell>
          <cell r="O8">
            <v>14</v>
          </cell>
          <cell r="P8">
            <v>16</v>
          </cell>
          <cell r="T8">
            <v>5</v>
          </cell>
          <cell r="U8" t="str">
            <v>Other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  <cell r="AI8">
            <v>12</v>
          </cell>
        </row>
        <row r="9">
          <cell r="A9">
            <v>6</v>
          </cell>
          <cell r="B9" t="str">
            <v>Total customers</v>
          </cell>
          <cell r="C9">
            <v>66534</v>
          </cell>
          <cell r="D9">
            <v>798404</v>
          </cell>
          <cell r="E9">
            <v>65250</v>
          </cell>
          <cell r="F9">
            <v>65409</v>
          </cell>
          <cell r="G9">
            <v>65630</v>
          </cell>
          <cell r="H9">
            <v>66024</v>
          </cell>
          <cell r="I9">
            <v>66061</v>
          </cell>
          <cell r="J9">
            <v>66320</v>
          </cell>
          <cell r="K9">
            <v>66740</v>
          </cell>
          <cell r="L9">
            <v>66828</v>
          </cell>
          <cell r="M9">
            <v>67040</v>
          </cell>
          <cell r="N9">
            <v>67414</v>
          </cell>
          <cell r="O9">
            <v>67745</v>
          </cell>
          <cell r="P9">
            <v>67943</v>
          </cell>
          <cell r="T9">
            <v>6</v>
          </cell>
          <cell r="U9" t="str">
            <v>Total customers</v>
          </cell>
          <cell r="X9">
            <v>63056</v>
          </cell>
          <cell r="Y9">
            <v>63125</v>
          </cell>
          <cell r="Z9">
            <v>63277</v>
          </cell>
          <cell r="AA9">
            <v>63820</v>
          </cell>
          <cell r="AB9">
            <v>63801</v>
          </cell>
          <cell r="AC9">
            <v>64041</v>
          </cell>
          <cell r="AD9">
            <v>64675</v>
          </cell>
          <cell r="AE9">
            <v>64173</v>
          </cell>
          <cell r="AF9">
            <v>64306</v>
          </cell>
          <cell r="AG9">
            <v>64431</v>
          </cell>
          <cell r="AH9">
            <v>64680</v>
          </cell>
          <cell r="AI9">
            <v>65009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- 2020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15333147.790000364</v>
          </cell>
          <cell r="D12">
            <v>1493149.0690427856</v>
          </cell>
          <cell r="E12">
            <v>187006.33752069631</v>
          </cell>
          <cell r="F12">
            <v>165882.28551952788</v>
          </cell>
          <cell r="G12">
            <v>150502.74515532257</v>
          </cell>
          <cell r="H12">
            <v>138686.94614860538</v>
          </cell>
          <cell r="I12">
            <v>129360.65731814495</v>
          </cell>
          <cell r="J12">
            <v>98444.498003705303</v>
          </cell>
          <cell r="K12">
            <v>84813.589443960169</v>
          </cell>
          <cell r="L12">
            <v>76174.554484373904</v>
          </cell>
          <cell r="M12">
            <v>75893.976044407915</v>
          </cell>
          <cell r="N12">
            <v>82619.856850721</v>
          </cell>
          <cell r="O12">
            <v>116736.01324374712</v>
          </cell>
          <cell r="P12">
            <v>187027.60930957308</v>
          </cell>
          <cell r="T12">
            <v>9</v>
          </cell>
          <cell r="U12" t="str">
            <v>Residential</v>
          </cell>
          <cell r="W12">
            <v>1355909.7022105688</v>
          </cell>
          <cell r="X12">
            <v>192071.13448242616</v>
          </cell>
          <cell r="Y12">
            <v>166570.24832018753</v>
          </cell>
          <cell r="Z12">
            <v>133447.13214529294</v>
          </cell>
          <cell r="AA12">
            <v>126655.13019768459</v>
          </cell>
          <cell r="AB12">
            <v>101306.12133606451</v>
          </cell>
          <cell r="AC12">
            <v>80759.713701434695</v>
          </cell>
          <cell r="AD12">
            <v>66526.488460416746</v>
          </cell>
          <cell r="AE12">
            <v>68282.268964847652</v>
          </cell>
          <cell r="AF12">
            <v>74093.291459736181</v>
          </cell>
          <cell r="AG12">
            <v>77592.879540367125</v>
          </cell>
          <cell r="AH12">
            <v>103955.04528191978</v>
          </cell>
          <cell r="AI12">
            <v>164650.24832019059</v>
          </cell>
        </row>
        <row r="13">
          <cell r="A13">
            <v>10</v>
          </cell>
          <cell r="B13" t="str">
            <v>Commercial</v>
          </cell>
          <cell r="C13">
            <v>14974514.309999997</v>
          </cell>
          <cell r="D13">
            <v>1458225.1738241306</v>
          </cell>
          <cell r="E13">
            <v>184037.55088129322</v>
          </cell>
          <cell r="F13">
            <v>171308.71652546508</v>
          </cell>
          <cell r="G13">
            <v>150625.82432564016</v>
          </cell>
          <cell r="H13">
            <v>100145.73570941669</v>
          </cell>
          <cell r="I13">
            <v>95571.088713603996</v>
          </cell>
          <cell r="J13">
            <v>93496.495277047434</v>
          </cell>
          <cell r="K13">
            <v>101193.89521861907</v>
          </cell>
          <cell r="L13">
            <v>99001.995325737735</v>
          </cell>
          <cell r="M13">
            <v>94384.104586619767</v>
          </cell>
          <cell r="N13">
            <v>102132.78021228939</v>
          </cell>
          <cell r="O13">
            <v>120590.14314928421</v>
          </cell>
          <cell r="P13">
            <v>145736.84389911377</v>
          </cell>
          <cell r="T13">
            <v>10</v>
          </cell>
          <cell r="U13" t="str">
            <v>Commercial</v>
          </cell>
          <cell r="W13">
            <v>1669661.2645905153</v>
          </cell>
          <cell r="X13">
            <v>178139.71633070408</v>
          </cell>
          <cell r="Y13">
            <v>167460.37559645518</v>
          </cell>
          <cell r="Z13">
            <v>145242.34462946738</v>
          </cell>
          <cell r="AA13">
            <v>152139.40452624412</v>
          </cell>
          <cell r="AB13">
            <v>134401.06534229236</v>
          </cell>
          <cell r="AC13">
            <v>128841.43344045184</v>
          </cell>
          <cell r="AD13">
            <v>105840.34959587113</v>
          </cell>
          <cell r="AE13">
            <v>118874.66452429639</v>
          </cell>
          <cell r="AF13">
            <v>110982.10633946826</v>
          </cell>
          <cell r="AG13">
            <v>118646.66179764333</v>
          </cell>
          <cell r="AH13">
            <v>141232.77631707085</v>
          </cell>
          <cell r="AI13">
            <v>167860.36615055028</v>
          </cell>
        </row>
        <row r="14">
          <cell r="A14">
            <v>11</v>
          </cell>
          <cell r="B14" t="str">
            <v xml:space="preserve">Industrial </v>
          </cell>
          <cell r="C14">
            <v>46536895.709999993</v>
          </cell>
          <cell r="D14">
            <v>4531784.5661700256</v>
          </cell>
          <cell r="E14">
            <v>466783.26808842132</v>
          </cell>
          <cell r="F14">
            <v>434698.76716330659</v>
          </cell>
          <cell r="G14">
            <v>426169.0583308991</v>
          </cell>
          <cell r="H14">
            <v>334934.9031064366</v>
          </cell>
          <cell r="I14">
            <v>326666.28493524203</v>
          </cell>
          <cell r="J14">
            <v>334280.80923166836</v>
          </cell>
          <cell r="K14">
            <v>357552.67017236346</v>
          </cell>
          <cell r="L14">
            <v>345907.6648164377</v>
          </cell>
          <cell r="M14">
            <v>348323.68292920449</v>
          </cell>
          <cell r="N14">
            <v>358704.40646606288</v>
          </cell>
          <cell r="O14">
            <v>379388.4107508033</v>
          </cell>
          <cell r="P14">
            <v>418374.64017918002</v>
          </cell>
          <cell r="T14">
            <v>11</v>
          </cell>
          <cell r="U14" t="str">
            <v>Industrial firm</v>
          </cell>
          <cell r="W14">
            <v>4838587.8264680095</v>
          </cell>
          <cell r="X14">
            <v>472789.75557503139</v>
          </cell>
          <cell r="Y14">
            <v>423675.35884701525</v>
          </cell>
          <cell r="Z14">
            <v>415480.99522835726</v>
          </cell>
          <cell r="AA14">
            <v>415197.91118901531</v>
          </cell>
          <cell r="AB14">
            <v>401987.53724802763</v>
          </cell>
          <cell r="AC14">
            <v>377452.39166423201</v>
          </cell>
          <cell r="AD14">
            <v>359300.43529068062</v>
          </cell>
          <cell r="AE14">
            <v>368868.90933878673</v>
          </cell>
          <cell r="AF14">
            <v>356998.61135456234</v>
          </cell>
          <cell r="AG14">
            <v>382569.9405979162</v>
          </cell>
          <cell r="AH14">
            <v>414027.16135943128</v>
          </cell>
          <cell r="AI14">
            <v>450238.81877495337</v>
          </cell>
        </row>
        <row r="15">
          <cell r="A15">
            <v>12</v>
          </cell>
          <cell r="B15" t="str">
            <v>Other</v>
          </cell>
          <cell r="C15">
            <v>29749319.955000002</v>
          </cell>
          <cell r="D15">
            <v>2897002.6248904471</v>
          </cell>
          <cell r="E15">
            <v>215456.01538611352</v>
          </cell>
          <cell r="F15">
            <v>167552.45505891516</v>
          </cell>
          <cell r="G15">
            <v>190379.93972149189</v>
          </cell>
          <cell r="H15">
            <v>159480.02843509591</v>
          </cell>
          <cell r="I15">
            <v>245769.07887817704</v>
          </cell>
          <cell r="J15">
            <v>250459.42672119968</v>
          </cell>
          <cell r="K15">
            <v>258839.77855682155</v>
          </cell>
          <cell r="L15">
            <v>193978.50598889863</v>
          </cell>
          <cell r="M15">
            <v>266035.14363618661</v>
          </cell>
          <cell r="N15">
            <v>300841.65157269454</v>
          </cell>
          <cell r="O15">
            <v>282586.74544746324</v>
          </cell>
          <cell r="P15">
            <v>365623.8554873892</v>
          </cell>
          <cell r="T15">
            <v>12</v>
          </cell>
          <cell r="U15" t="str">
            <v>Other</v>
          </cell>
          <cell r="W15">
            <v>2507473.7423312883</v>
          </cell>
          <cell r="X15">
            <v>220015.97078586035</v>
          </cell>
          <cell r="Y15">
            <v>100866.47521667153</v>
          </cell>
          <cell r="Z15">
            <v>219959.99532573766</v>
          </cell>
          <cell r="AA15">
            <v>196594.48923945855</v>
          </cell>
          <cell r="AB15">
            <v>204674.91089687409</v>
          </cell>
          <cell r="AC15">
            <v>216191.90865712339</v>
          </cell>
          <cell r="AD15">
            <v>191827.10127568411</v>
          </cell>
          <cell r="AE15">
            <v>194154.7966695881</v>
          </cell>
          <cell r="AF15">
            <v>182006.0778069919</v>
          </cell>
          <cell r="AG15">
            <v>250776.30411919369</v>
          </cell>
          <cell r="AH15">
            <v>246778.57590807282</v>
          </cell>
          <cell r="AI15">
            <v>283627.13643003214</v>
          </cell>
        </row>
        <row r="16">
          <cell r="A16">
            <v>13</v>
          </cell>
          <cell r="B16" t="str">
            <v>Total Deliveries</v>
          </cell>
          <cell r="D16">
            <v>10380161.433927389</v>
          </cell>
          <cell r="E16">
            <v>1053283.1718765243</v>
          </cell>
          <cell r="F16">
            <v>939442.22426721477</v>
          </cell>
          <cell r="G16">
            <v>917677.56753335369</v>
          </cell>
          <cell r="H16">
            <v>733247.61339955451</v>
          </cell>
          <cell r="I16">
            <v>797367.10984516796</v>
          </cell>
          <cell r="J16">
            <v>776681.22923362069</v>
          </cell>
          <cell r="K16">
            <v>802399.93339176418</v>
          </cell>
          <cell r="L16">
            <v>715062.72061544796</v>
          </cell>
          <cell r="M16">
            <v>784636.90719641885</v>
          </cell>
          <cell r="N16">
            <v>844298.69510176778</v>
          </cell>
          <cell r="O16">
            <v>899301.3125912979</v>
          </cell>
          <cell r="P16">
            <v>1116762.9488752561</v>
          </cell>
          <cell r="T16">
            <v>13</v>
          </cell>
          <cell r="U16" t="str">
            <v>Total Deliveries</v>
          </cell>
          <cell r="W16">
            <v>10371632.535600383</v>
          </cell>
          <cell r="X16">
            <v>1063016.5771740221</v>
          </cell>
          <cell r="Y16">
            <v>858572.45798032964</v>
          </cell>
          <cell r="Z16">
            <v>914130.46732885519</v>
          </cell>
          <cell r="AA16">
            <v>890586.93515240261</v>
          </cell>
          <cell r="AB16">
            <v>842369.6348232585</v>
          </cell>
          <cell r="AC16">
            <v>803245.44746324187</v>
          </cell>
          <cell r="AD16">
            <v>723494.37462265254</v>
          </cell>
          <cell r="AE16">
            <v>750180.63949751889</v>
          </cell>
          <cell r="AF16">
            <v>724080.08696075866</v>
          </cell>
          <cell r="AG16">
            <v>829585.78605512041</v>
          </cell>
          <cell r="AH16">
            <v>905993.5588664948</v>
          </cell>
          <cell r="AI16">
            <v>1066376.5696757264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58788</v>
          </cell>
          <cell r="D21">
            <v>705453</v>
          </cell>
          <cell r="E21">
            <v>57524</v>
          </cell>
          <cell r="F21">
            <v>57679</v>
          </cell>
          <cell r="G21">
            <v>57893</v>
          </cell>
          <cell r="H21">
            <v>58271</v>
          </cell>
          <cell r="I21">
            <v>58341</v>
          </cell>
          <cell r="J21">
            <v>58588</v>
          </cell>
          <cell r="K21">
            <v>58988</v>
          </cell>
          <cell r="L21">
            <v>59096</v>
          </cell>
          <cell r="M21">
            <v>59303</v>
          </cell>
          <cell r="N21">
            <v>59641</v>
          </cell>
          <cell r="O21">
            <v>59970</v>
          </cell>
          <cell r="P21">
            <v>60159</v>
          </cell>
          <cell r="T21">
            <v>18</v>
          </cell>
          <cell r="U21" t="str">
            <v>Residential</v>
          </cell>
          <cell r="X21">
            <v>55510</v>
          </cell>
          <cell r="Y21">
            <v>55562</v>
          </cell>
          <cell r="Z21">
            <v>55710</v>
          </cell>
          <cell r="AA21">
            <v>56193</v>
          </cell>
          <cell r="AB21">
            <v>56194</v>
          </cell>
          <cell r="AC21">
            <v>56425</v>
          </cell>
          <cell r="AD21">
            <v>57078</v>
          </cell>
          <cell r="AE21">
            <v>56562</v>
          </cell>
          <cell r="AF21">
            <v>56690</v>
          </cell>
          <cell r="AG21">
            <v>56787</v>
          </cell>
          <cell r="AH21">
            <v>57028</v>
          </cell>
          <cell r="AI21">
            <v>57344</v>
          </cell>
        </row>
        <row r="22">
          <cell r="A22">
            <v>19</v>
          </cell>
          <cell r="B22" t="str">
            <v>Commercial Small</v>
          </cell>
          <cell r="C22">
            <v>3283</v>
          </cell>
          <cell r="D22">
            <v>39393</v>
          </cell>
          <cell r="E22">
            <v>3272</v>
          </cell>
          <cell r="F22">
            <v>3262</v>
          </cell>
          <cell r="G22">
            <v>3269</v>
          </cell>
          <cell r="H22">
            <v>3281</v>
          </cell>
          <cell r="I22">
            <v>3259</v>
          </cell>
          <cell r="J22">
            <v>3277</v>
          </cell>
          <cell r="K22">
            <v>3289</v>
          </cell>
          <cell r="L22">
            <v>3279</v>
          </cell>
          <cell r="M22">
            <v>3283</v>
          </cell>
          <cell r="N22">
            <v>3301</v>
          </cell>
          <cell r="O22">
            <v>3308</v>
          </cell>
          <cell r="P22">
            <v>3313</v>
          </cell>
          <cell r="T22">
            <v>19</v>
          </cell>
          <cell r="U22" t="str">
            <v>Commercial Small</v>
          </cell>
          <cell r="X22">
            <v>3176</v>
          </cell>
          <cell r="Y22">
            <v>3185</v>
          </cell>
          <cell r="Z22">
            <v>3181</v>
          </cell>
          <cell r="AA22">
            <v>3213</v>
          </cell>
          <cell r="AB22">
            <v>3215</v>
          </cell>
          <cell r="AC22">
            <v>3217</v>
          </cell>
          <cell r="AD22">
            <v>3212</v>
          </cell>
          <cell r="AE22">
            <v>3222</v>
          </cell>
          <cell r="AF22">
            <v>3231</v>
          </cell>
          <cell r="AG22">
            <v>3251</v>
          </cell>
          <cell r="AH22">
            <v>3258</v>
          </cell>
          <cell r="AI22">
            <v>3258</v>
          </cell>
        </row>
        <row r="23">
          <cell r="A23">
            <v>20</v>
          </cell>
          <cell r="B23" t="str">
            <v>Commercial Large</v>
          </cell>
          <cell r="C23">
            <v>652</v>
          </cell>
          <cell r="D23">
            <v>7824</v>
          </cell>
          <cell r="E23">
            <v>649</v>
          </cell>
          <cell r="F23">
            <v>658</v>
          </cell>
          <cell r="G23">
            <v>664</v>
          </cell>
          <cell r="H23">
            <v>661</v>
          </cell>
          <cell r="I23">
            <v>652</v>
          </cell>
          <cell r="J23">
            <v>647</v>
          </cell>
          <cell r="K23">
            <v>650</v>
          </cell>
          <cell r="L23">
            <v>643</v>
          </cell>
          <cell r="M23">
            <v>644</v>
          </cell>
          <cell r="N23">
            <v>647</v>
          </cell>
          <cell r="O23">
            <v>652</v>
          </cell>
          <cell r="P23">
            <v>657</v>
          </cell>
          <cell r="T23">
            <v>20</v>
          </cell>
          <cell r="U23" t="str">
            <v>Commercial Large</v>
          </cell>
          <cell r="X23">
            <v>666</v>
          </cell>
          <cell r="Y23">
            <v>666</v>
          </cell>
          <cell r="Z23">
            <v>652</v>
          </cell>
          <cell r="AA23">
            <v>663</v>
          </cell>
          <cell r="AB23">
            <v>659</v>
          </cell>
          <cell r="AC23">
            <v>658</v>
          </cell>
          <cell r="AD23">
            <v>650</v>
          </cell>
          <cell r="AE23">
            <v>658</v>
          </cell>
          <cell r="AF23">
            <v>655</v>
          </cell>
          <cell r="AG23">
            <v>651</v>
          </cell>
          <cell r="AH23">
            <v>647</v>
          </cell>
          <cell r="AI23">
            <v>648</v>
          </cell>
        </row>
        <row r="24">
          <cell r="A24">
            <v>21</v>
          </cell>
          <cell r="B24" t="str">
            <v>Outdoor Lights</v>
          </cell>
          <cell r="C24">
            <v>32</v>
          </cell>
          <cell r="D24">
            <v>389</v>
          </cell>
          <cell r="E24">
            <v>34</v>
          </cell>
          <cell r="F24">
            <v>34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32</v>
          </cell>
          <cell r="N24">
            <v>33</v>
          </cell>
          <cell r="O24">
            <v>33</v>
          </cell>
          <cell r="P24">
            <v>31</v>
          </cell>
          <cell r="T24">
            <v>21</v>
          </cell>
          <cell r="U24" t="str">
            <v>Outdoor Lights</v>
          </cell>
          <cell r="X24">
            <v>26</v>
          </cell>
          <cell r="Y24">
            <v>26</v>
          </cell>
          <cell r="Z24">
            <v>40</v>
          </cell>
          <cell r="AA24">
            <v>42</v>
          </cell>
          <cell r="AB24">
            <v>36</v>
          </cell>
          <cell r="AC24">
            <v>36</v>
          </cell>
          <cell r="AD24">
            <v>35</v>
          </cell>
          <cell r="AE24">
            <v>36</v>
          </cell>
          <cell r="AF24">
            <v>32</v>
          </cell>
          <cell r="AG24">
            <v>32</v>
          </cell>
          <cell r="AH24">
            <v>32</v>
          </cell>
          <cell r="AI24">
            <v>32</v>
          </cell>
        </row>
        <row r="25">
          <cell r="A25">
            <v>22</v>
          </cell>
          <cell r="B25" t="str">
            <v>Interdepartmental/Special Contracts</v>
          </cell>
          <cell r="C25">
            <v>5</v>
          </cell>
          <cell r="D25">
            <v>61</v>
          </cell>
          <cell r="E25">
            <v>5</v>
          </cell>
          <cell r="F25">
            <v>5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6</v>
          </cell>
          <cell r="T25">
            <v>22</v>
          </cell>
          <cell r="U25" t="str">
            <v>Interdepartmental/Special Contracts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  <cell r="AF25">
            <v>5</v>
          </cell>
          <cell r="AG25">
            <v>5</v>
          </cell>
          <cell r="AH25">
            <v>5</v>
          </cell>
          <cell r="AI25">
            <v>5</v>
          </cell>
        </row>
        <row r="26">
          <cell r="A26">
            <v>23</v>
          </cell>
          <cell r="B26" t="str">
            <v>Commercial Small Transp</v>
          </cell>
          <cell r="C26">
            <v>1192</v>
          </cell>
          <cell r="D26">
            <v>14306</v>
          </cell>
          <cell r="E26">
            <v>1175</v>
          </cell>
          <cell r="F26">
            <v>1185</v>
          </cell>
          <cell r="G26">
            <v>1185</v>
          </cell>
          <cell r="H26">
            <v>1189</v>
          </cell>
          <cell r="I26">
            <v>1188</v>
          </cell>
          <cell r="J26">
            <v>1192</v>
          </cell>
          <cell r="K26">
            <v>1196</v>
          </cell>
          <cell r="L26">
            <v>1195</v>
          </cell>
          <cell r="M26">
            <v>1197</v>
          </cell>
          <cell r="N26">
            <v>1203</v>
          </cell>
          <cell r="O26">
            <v>1201</v>
          </cell>
          <cell r="P26">
            <v>1200</v>
          </cell>
          <cell r="T26">
            <v>23</v>
          </cell>
          <cell r="U26" t="str">
            <v>Commercial Small Transp</v>
          </cell>
          <cell r="X26">
            <v>1144</v>
          </cell>
          <cell r="Y26">
            <v>1145</v>
          </cell>
          <cell r="Z26">
            <v>1145</v>
          </cell>
          <cell r="AA26">
            <v>1150</v>
          </cell>
          <cell r="AB26">
            <v>1144</v>
          </cell>
          <cell r="AC26">
            <v>1144</v>
          </cell>
          <cell r="AD26">
            <v>1157</v>
          </cell>
          <cell r="AE26">
            <v>1157</v>
          </cell>
          <cell r="AF26">
            <v>1157</v>
          </cell>
          <cell r="AG26">
            <v>1157</v>
          </cell>
          <cell r="AH26">
            <v>1158</v>
          </cell>
          <cell r="AI26">
            <v>1167</v>
          </cell>
        </row>
        <row r="27">
          <cell r="A27">
            <v>24</v>
          </cell>
          <cell r="B27" t="str">
            <v>Commercial Large Transp</v>
          </cell>
          <cell r="C27">
            <v>1268</v>
          </cell>
          <cell r="D27">
            <v>15217</v>
          </cell>
          <cell r="E27">
            <v>1264</v>
          </cell>
          <cell r="F27">
            <v>1264</v>
          </cell>
          <cell r="G27">
            <v>1261</v>
          </cell>
          <cell r="H27">
            <v>1271</v>
          </cell>
          <cell r="I27">
            <v>1276</v>
          </cell>
          <cell r="J27">
            <v>1278</v>
          </cell>
          <cell r="K27">
            <v>1273</v>
          </cell>
          <cell r="L27">
            <v>1269</v>
          </cell>
          <cell r="M27">
            <v>1264</v>
          </cell>
          <cell r="N27">
            <v>1269</v>
          </cell>
          <cell r="O27">
            <v>1264</v>
          </cell>
          <cell r="P27">
            <v>1264</v>
          </cell>
          <cell r="T27">
            <v>24</v>
          </cell>
          <cell r="U27" t="str">
            <v>Commercial Large Transp</v>
          </cell>
          <cell r="X27">
            <v>1225</v>
          </cell>
          <cell r="Y27">
            <v>1231</v>
          </cell>
          <cell r="Z27">
            <v>1237</v>
          </cell>
          <cell r="AA27">
            <v>1244</v>
          </cell>
          <cell r="AB27">
            <v>1247</v>
          </cell>
          <cell r="AC27">
            <v>1255</v>
          </cell>
          <cell r="AD27">
            <v>1243</v>
          </cell>
          <cell r="AE27">
            <v>1238</v>
          </cell>
          <cell r="AF27">
            <v>1245</v>
          </cell>
          <cell r="AG27">
            <v>1247</v>
          </cell>
          <cell r="AH27">
            <v>1255</v>
          </cell>
          <cell r="AI27">
            <v>1256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217</v>
          </cell>
          <cell r="E28">
            <v>19</v>
          </cell>
          <cell r="F28">
            <v>18</v>
          </cell>
          <cell r="G28">
            <v>18</v>
          </cell>
          <cell r="H28">
            <v>18</v>
          </cell>
          <cell r="I28">
            <v>18</v>
          </cell>
          <cell r="J28">
            <v>18</v>
          </cell>
          <cell r="K28">
            <v>18</v>
          </cell>
          <cell r="L28">
            <v>18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T28">
            <v>25</v>
          </cell>
          <cell r="U28" t="str">
            <v>Interruptible Transp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18</v>
          </cell>
          <cell r="AC28">
            <v>18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  <cell r="AI28">
            <v>18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A30">
            <v>27</v>
          </cell>
          <cell r="D30">
            <v>782860</v>
          </cell>
          <cell r="E30">
            <v>63942</v>
          </cell>
          <cell r="F30">
            <v>64105</v>
          </cell>
          <cell r="G30">
            <v>64327</v>
          </cell>
          <cell r="H30">
            <v>64728</v>
          </cell>
          <cell r="I30">
            <v>64771</v>
          </cell>
          <cell r="J30">
            <v>65037</v>
          </cell>
          <cell r="K30">
            <v>65451</v>
          </cell>
          <cell r="L30">
            <v>65537</v>
          </cell>
          <cell r="M30">
            <v>65746</v>
          </cell>
          <cell r="N30">
            <v>66117</v>
          </cell>
          <cell r="O30">
            <v>66451</v>
          </cell>
          <cell r="P30">
            <v>66648</v>
          </cell>
          <cell r="T30">
            <v>27</v>
          </cell>
          <cell r="X30">
            <v>61770</v>
          </cell>
          <cell r="Y30">
            <v>61838</v>
          </cell>
          <cell r="Z30">
            <v>61988</v>
          </cell>
          <cell r="AA30">
            <v>62528</v>
          </cell>
          <cell r="AB30">
            <v>62518</v>
          </cell>
          <cell r="AC30">
            <v>62758</v>
          </cell>
          <cell r="AD30">
            <v>63398</v>
          </cell>
          <cell r="AE30">
            <v>62896</v>
          </cell>
          <cell r="AF30">
            <v>63033</v>
          </cell>
          <cell r="AG30">
            <v>63148</v>
          </cell>
          <cell r="AH30">
            <v>63401</v>
          </cell>
          <cell r="AI30">
            <v>63728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1474628.0855000846</v>
          </cell>
          <cell r="E33">
            <v>185034.67620995524</v>
          </cell>
          <cell r="F33">
            <v>164189.55984029916</v>
          </cell>
          <cell r="G33">
            <v>148852.11412990626</v>
          </cell>
          <cell r="H33">
            <v>137043.39857824799</v>
          </cell>
          <cell r="I33">
            <v>127858.19748758695</v>
          </cell>
          <cell r="J33">
            <v>97118.749634828098</v>
          </cell>
          <cell r="K33">
            <v>83379.371896000288</v>
          </cell>
          <cell r="L33">
            <v>74955.720128545683</v>
          </cell>
          <cell r="M33">
            <v>74579.028142956944</v>
          </cell>
          <cell r="N33">
            <v>81314.915765902624</v>
          </cell>
          <cell r="O33">
            <v>115200.52488071274</v>
          </cell>
          <cell r="P33">
            <v>185101.82880514226</v>
          </cell>
          <cell r="T33">
            <v>30</v>
          </cell>
          <cell r="U33" t="str">
            <v>Residential</v>
          </cell>
          <cell r="X33">
            <v>190053.27393125274</v>
          </cell>
          <cell r="Y33">
            <v>164712.71301976879</v>
          </cell>
          <cell r="Z33">
            <v>131889.83250560067</v>
          </cell>
          <cell r="AA33">
            <v>125141.66228454796</v>
          </cell>
          <cell r="AB33">
            <v>99820.415814592125</v>
          </cell>
          <cell r="AC33">
            <v>79489.72149187194</v>
          </cell>
          <cell r="AD33">
            <v>65288.573376182641</v>
          </cell>
          <cell r="AE33">
            <v>67035.584769697205</v>
          </cell>
          <cell r="AF33">
            <v>72850.674846628768</v>
          </cell>
          <cell r="AG33">
            <v>76250.234686924712</v>
          </cell>
          <cell r="AH33">
            <v>102584.7219787744</v>
          </cell>
          <cell r="AI33">
            <v>162859.58808063465</v>
          </cell>
        </row>
        <row r="34">
          <cell r="A34">
            <v>31</v>
          </cell>
          <cell r="B34" t="str">
            <v>Commercial Small</v>
          </cell>
          <cell r="D34">
            <v>672174.80377836199</v>
          </cell>
          <cell r="E34">
            <v>85286.113545622822</v>
          </cell>
          <cell r="F34">
            <v>80333.396630636038</v>
          </cell>
          <cell r="G34">
            <v>71863.493037296561</v>
          </cell>
          <cell r="H34">
            <v>46382.974973220385</v>
          </cell>
          <cell r="I34">
            <v>41554.353880611583</v>
          </cell>
          <cell r="J34">
            <v>42140.669003797848</v>
          </cell>
          <cell r="K34">
            <v>44759.92404323689</v>
          </cell>
          <cell r="L34">
            <v>43137.550881293231</v>
          </cell>
          <cell r="M34">
            <v>43461.377933586373</v>
          </cell>
          <cell r="N34">
            <v>47311.879442983729</v>
          </cell>
          <cell r="O34">
            <v>55781.263998441893</v>
          </cell>
          <cell r="P34">
            <v>70161.806407634605</v>
          </cell>
          <cell r="T34">
            <v>31</v>
          </cell>
          <cell r="U34" t="str">
            <v>Commercial Small</v>
          </cell>
          <cell r="X34">
            <v>83279.096309280299</v>
          </cell>
          <cell r="Y34">
            <v>80291.457785568098</v>
          </cell>
          <cell r="Z34">
            <v>68153.786152497807</v>
          </cell>
          <cell r="AA34">
            <v>67088.342584477592</v>
          </cell>
          <cell r="AB34">
            <v>59277.718375693883</v>
          </cell>
          <cell r="AC34">
            <v>55529.197584964495</v>
          </cell>
          <cell r="AD34">
            <v>41396.28785665601</v>
          </cell>
          <cell r="AE34">
            <v>50820.219106047211</v>
          </cell>
          <cell r="AF34">
            <v>51858.752556237218</v>
          </cell>
          <cell r="AG34">
            <v>53610.395364689779</v>
          </cell>
          <cell r="AH34">
            <v>63698.141006914011</v>
          </cell>
          <cell r="AI34">
            <v>77927.638523712172</v>
          </cell>
        </row>
        <row r="35">
          <cell r="A35">
            <v>32</v>
          </cell>
          <cell r="B35" t="str">
            <v>Commercial Large</v>
          </cell>
          <cell r="D35">
            <v>750256.7728113737</v>
          </cell>
          <cell r="E35">
            <v>94914.480475216638</v>
          </cell>
          <cell r="F35">
            <v>86707.929691303871</v>
          </cell>
          <cell r="G35">
            <v>74835.514655760097</v>
          </cell>
          <cell r="H35">
            <v>50691.309767260675</v>
          </cell>
          <cell r="I35">
            <v>51858.077709611382</v>
          </cell>
          <cell r="J35">
            <v>49162.087837179868</v>
          </cell>
          <cell r="K35">
            <v>54061.077027948166</v>
          </cell>
          <cell r="L35">
            <v>53779.985392930241</v>
          </cell>
          <cell r="M35">
            <v>48651.451942740277</v>
          </cell>
          <cell r="N35">
            <v>52271.670074982925</v>
          </cell>
          <cell r="O35">
            <v>61721.529847112637</v>
          </cell>
          <cell r="P35">
            <v>71601.658389327014</v>
          </cell>
          <cell r="T35">
            <v>32</v>
          </cell>
          <cell r="U35" t="str">
            <v>Commercial Large</v>
          </cell>
          <cell r="X35">
            <v>92238.215016067828</v>
          </cell>
          <cell r="Y35">
            <v>84717.499269646447</v>
          </cell>
          <cell r="Z35">
            <v>74826.632583503771</v>
          </cell>
          <cell r="AA35">
            <v>82917.128250073103</v>
          </cell>
          <cell r="AB35">
            <v>72958.256889667886</v>
          </cell>
          <cell r="AC35">
            <v>71234.989775051072</v>
          </cell>
          <cell r="AD35">
            <v>62530.391469471229</v>
          </cell>
          <cell r="AE35">
            <v>65486.541045866259</v>
          </cell>
          <cell r="AF35">
            <v>56565.034570065196</v>
          </cell>
          <cell r="AG35">
            <v>62121.919368974573</v>
          </cell>
          <cell r="AH35">
            <v>74336.245983055851</v>
          </cell>
          <cell r="AI35">
            <v>85767.497322037219</v>
          </cell>
        </row>
        <row r="36">
          <cell r="A36">
            <v>33</v>
          </cell>
          <cell r="B36" t="str">
            <v>Outdoor Lights</v>
          </cell>
          <cell r="D36">
            <v>10627.192521180252</v>
          </cell>
          <cell r="E36">
            <v>816.65400720615435</v>
          </cell>
          <cell r="F36">
            <v>954.54474632388735</v>
          </cell>
          <cell r="G36">
            <v>885.59937676502091</v>
          </cell>
          <cell r="H36">
            <v>885.59937676502091</v>
          </cell>
          <cell r="I36">
            <v>885.59937676502091</v>
          </cell>
          <cell r="J36">
            <v>885.59937676502091</v>
          </cell>
          <cell r="K36">
            <v>885.59937676502091</v>
          </cell>
          <cell r="L36">
            <v>885.59937676502091</v>
          </cell>
          <cell r="M36">
            <v>885.59937676502091</v>
          </cell>
          <cell r="N36">
            <v>885.59937676502091</v>
          </cell>
          <cell r="O36">
            <v>885.59937676502091</v>
          </cell>
          <cell r="P36">
            <v>885.59937676502091</v>
          </cell>
          <cell r="T36">
            <v>33</v>
          </cell>
          <cell r="U36" t="str">
            <v>Outdoor Lights</v>
          </cell>
          <cell r="X36">
            <v>1156.7065926575128</v>
          </cell>
          <cell r="Y36">
            <v>1156.7065926575128</v>
          </cell>
          <cell r="Z36">
            <v>1156.7065926575128</v>
          </cell>
          <cell r="AA36">
            <v>1022.6136916934462</v>
          </cell>
          <cell r="AB36">
            <v>1067.3113253481351</v>
          </cell>
          <cell r="AC36">
            <v>1067.3113253481351</v>
          </cell>
          <cell r="AD36">
            <v>988.43314831044881</v>
          </cell>
          <cell r="AE36">
            <v>911.98948290972839</v>
          </cell>
          <cell r="AF36">
            <v>927.66773785178691</v>
          </cell>
          <cell r="AG36">
            <v>927.66773785178691</v>
          </cell>
          <cell r="AH36">
            <v>927.66773785178691</v>
          </cell>
          <cell r="AI36">
            <v>927.66773785178691</v>
          </cell>
        </row>
        <row r="37">
          <cell r="A37">
            <v>34</v>
          </cell>
          <cell r="B37" t="str">
            <v>Interdepartmental/Special Contracts</v>
          </cell>
          <cell r="D37">
            <v>2899120.3680981593</v>
          </cell>
          <cell r="E37">
            <v>225464.39380660237</v>
          </cell>
          <cell r="F37">
            <v>164174.56714383094</v>
          </cell>
          <cell r="G37">
            <v>206098.54903106438</v>
          </cell>
          <cell r="H37">
            <v>207769.69519914305</v>
          </cell>
          <cell r="I37">
            <v>270498.71263024636</v>
          </cell>
          <cell r="J37">
            <v>251733.8114714188</v>
          </cell>
          <cell r="K37">
            <v>274926.15249780897</v>
          </cell>
          <cell r="L37">
            <v>193293.23400525854</v>
          </cell>
          <cell r="M37">
            <v>256233.58944395755</v>
          </cell>
          <cell r="N37">
            <v>273887.14188333822</v>
          </cell>
          <cell r="O37">
            <v>265831.43636186578</v>
          </cell>
          <cell r="P37">
            <v>309209.08462362445</v>
          </cell>
          <cell r="T37">
            <v>34</v>
          </cell>
          <cell r="U37" t="str">
            <v>Interdepartmental/Special Contracts</v>
          </cell>
          <cell r="X37">
            <v>199134.27987145778</v>
          </cell>
          <cell r="Y37">
            <v>142253.12201772325</v>
          </cell>
          <cell r="Z37">
            <v>205553.41318531503</v>
          </cell>
          <cell r="AA37">
            <v>196381.5181614568</v>
          </cell>
          <cell r="AB37">
            <v>204450.08472100497</v>
          </cell>
          <cell r="AC37">
            <v>215999.92696465089</v>
          </cell>
          <cell r="AD37">
            <v>187342.19106047327</v>
          </cell>
          <cell r="AE37">
            <v>202232.24851494792</v>
          </cell>
          <cell r="AF37">
            <v>180348.46138864543</v>
          </cell>
          <cell r="AG37">
            <v>225798.32505599377</v>
          </cell>
          <cell r="AH37">
            <v>224451.10624208782</v>
          </cell>
          <cell r="AI37">
            <v>239585.39877300613</v>
          </cell>
        </row>
        <row r="38">
          <cell r="A38">
            <v>35</v>
          </cell>
          <cell r="B38" t="str">
            <v>Unbilled</v>
          </cell>
          <cell r="D38">
            <v>-4295</v>
          </cell>
          <cell r="E38">
            <v>-10232</v>
          </cell>
          <cell r="F38">
            <v>3159</v>
          </cell>
          <cell r="G38">
            <v>-15931</v>
          </cell>
          <cell r="H38">
            <v>-48452</v>
          </cell>
          <cell r="I38">
            <v>-24861</v>
          </cell>
          <cell r="J38">
            <v>-1413</v>
          </cell>
          <cell r="K38">
            <v>-16236</v>
          </cell>
          <cell r="L38">
            <v>552</v>
          </cell>
          <cell r="M38">
            <v>9620</v>
          </cell>
          <cell r="N38">
            <v>26770</v>
          </cell>
          <cell r="O38">
            <v>16551</v>
          </cell>
          <cell r="P38">
            <v>56178</v>
          </cell>
          <cell r="T38">
            <v>35</v>
          </cell>
          <cell r="U38" t="str">
            <v>Unbilled</v>
          </cell>
          <cell r="X38">
            <v>20636</v>
          </cell>
          <cell r="Y38">
            <v>-41604</v>
          </cell>
          <cell r="Z38">
            <v>14168</v>
          </cell>
          <cell r="AA38">
            <v>0</v>
          </cell>
          <cell r="AB38">
            <v>-14099</v>
          </cell>
          <cell r="AC38">
            <v>-50223</v>
          </cell>
          <cell r="AD38">
            <v>4327</v>
          </cell>
          <cell r="AE38">
            <v>-8267</v>
          </cell>
          <cell r="AF38">
            <v>1447</v>
          </cell>
          <cell r="AG38">
            <v>24763</v>
          </cell>
          <cell r="AH38">
            <v>22114</v>
          </cell>
          <cell r="AI38">
            <v>43826</v>
          </cell>
        </row>
        <row r="39">
          <cell r="A39">
            <v>36</v>
          </cell>
          <cell r="B39" t="str">
            <v>Commercial Small Transp</v>
          </cell>
          <cell r="D39">
            <v>640663.96046353085</v>
          </cell>
          <cell r="E39">
            <v>69521.442204693696</v>
          </cell>
          <cell r="F39">
            <v>65492.46372577655</v>
          </cell>
          <cell r="G39">
            <v>61644.830071087716</v>
          </cell>
          <cell r="H39">
            <v>44806.757230499468</v>
          </cell>
          <cell r="I39">
            <v>42214.836887720339</v>
          </cell>
          <cell r="J39">
            <v>44723.62742233905</v>
          </cell>
          <cell r="K39">
            <v>49370.796572207619</v>
          </cell>
          <cell r="L39">
            <v>46536.194371409067</v>
          </cell>
          <cell r="M39">
            <v>47700.063297302535</v>
          </cell>
          <cell r="N39">
            <v>49713.231083844599</v>
          </cell>
          <cell r="O39">
            <v>55426.081410069157</v>
          </cell>
          <cell r="P39">
            <v>63513.63618658101</v>
          </cell>
          <cell r="T39">
            <v>36</v>
          </cell>
          <cell r="U39" t="str">
            <v>Commercial Small Transp</v>
          </cell>
          <cell r="X39">
            <v>64449.438114714154</v>
          </cell>
          <cell r="Y39">
            <v>61400.33206738728</v>
          </cell>
          <cell r="Z39">
            <v>56384.012075177663</v>
          </cell>
          <cell r="AA39">
            <v>56488.458467231503</v>
          </cell>
          <cell r="AB39">
            <v>52938.840198656144</v>
          </cell>
          <cell r="AC39">
            <v>49945.818482812356</v>
          </cell>
          <cell r="AD39">
            <v>45686.188528581137</v>
          </cell>
          <cell r="AE39">
            <v>48930.69821793749</v>
          </cell>
          <cell r="AF39">
            <v>48079.925990846255</v>
          </cell>
          <cell r="AG39">
            <v>49234.010127568334</v>
          </cell>
          <cell r="AH39">
            <v>55495.332554289591</v>
          </cell>
          <cell r="AI39">
            <v>63300.085694809619</v>
          </cell>
        </row>
        <row r="40">
          <cell r="A40">
            <v>37</v>
          </cell>
          <cell r="B40" t="str">
            <v>Commercial Large Transp</v>
          </cell>
          <cell r="D40">
            <v>2912700.6242087837</v>
          </cell>
          <cell r="E40">
            <v>314314.06855584763</v>
          </cell>
          <cell r="F40">
            <v>292558.30850131426</v>
          </cell>
          <cell r="G40">
            <v>276026.95686045411</v>
          </cell>
          <cell r="H40">
            <v>212905.76979257943</v>
          </cell>
          <cell r="I40">
            <v>200708.49644561307</v>
          </cell>
          <cell r="J40">
            <v>213969.00379783841</v>
          </cell>
          <cell r="K40">
            <v>227404.65186483596</v>
          </cell>
          <cell r="L40">
            <v>218516.28104002328</v>
          </cell>
          <cell r="M40">
            <v>223018.28999902631</v>
          </cell>
          <cell r="N40">
            <v>226002.28746713401</v>
          </cell>
          <cell r="O40">
            <v>240245.35787321054</v>
          </cell>
          <cell r="P40">
            <v>267031.15201090655</v>
          </cell>
          <cell r="T40">
            <v>37</v>
          </cell>
          <cell r="U40" t="str">
            <v>Commercial Large Transp</v>
          </cell>
          <cell r="X40">
            <v>319974.42302074179</v>
          </cell>
          <cell r="Y40">
            <v>284087.08442886354</v>
          </cell>
          <cell r="Z40">
            <v>277631.1909630929</v>
          </cell>
          <cell r="AA40">
            <v>275090.10614470718</v>
          </cell>
          <cell r="AB40">
            <v>270742.28162430576</v>
          </cell>
          <cell r="AC40">
            <v>247118.60161651555</v>
          </cell>
          <cell r="AD40">
            <v>232546.74262342966</v>
          </cell>
          <cell r="AE40">
            <v>243790.7157464214</v>
          </cell>
          <cell r="AF40">
            <v>233420.90076930568</v>
          </cell>
          <cell r="AG40">
            <v>248336.80105170925</v>
          </cell>
          <cell r="AH40">
            <v>277656.70756646217</v>
          </cell>
          <cell r="AI40">
            <v>302911.1500632969</v>
          </cell>
        </row>
        <row r="41">
          <cell r="A41">
            <v>38</v>
          </cell>
          <cell r="B41" t="str">
            <v>Interruptible Transp</v>
          </cell>
          <cell r="D41">
            <v>978419.9814977115</v>
          </cell>
          <cell r="E41">
            <v>82947.757327880041</v>
          </cell>
          <cell r="F41">
            <v>76647.994936215793</v>
          </cell>
          <cell r="G41">
            <v>88497.271399357269</v>
          </cell>
          <cell r="H41">
            <v>77222.376083357682</v>
          </cell>
          <cell r="I41">
            <v>83742.951601908659</v>
          </cell>
          <cell r="J41">
            <v>75588.178011490891</v>
          </cell>
          <cell r="K41">
            <v>80777.221735319894</v>
          </cell>
          <cell r="L41">
            <v>80855.189405005367</v>
          </cell>
          <cell r="M41">
            <v>77605.329632875641</v>
          </cell>
          <cell r="N41">
            <v>82988.887915084226</v>
          </cell>
          <cell r="O41">
            <v>83716.971467523617</v>
          </cell>
          <cell r="P41">
            <v>87829.851981692467</v>
          </cell>
          <cell r="T41">
            <v>38</v>
          </cell>
          <cell r="U41" t="str">
            <v>Interruptible Transp</v>
          </cell>
          <cell r="X41">
            <v>88365.894439575437</v>
          </cell>
          <cell r="Y41">
            <v>78187.942350764424</v>
          </cell>
          <cell r="Z41">
            <v>81465.792190086664</v>
          </cell>
          <cell r="AA41">
            <v>83619.346577076649</v>
          </cell>
          <cell r="AB41">
            <v>78306.41542506573</v>
          </cell>
          <cell r="AC41">
            <v>80387.971564904074</v>
          </cell>
          <cell r="AD41">
            <v>81067.504138669785</v>
          </cell>
          <cell r="AE41">
            <v>76147.49537442789</v>
          </cell>
          <cell r="AF41">
            <v>75497.784594410361</v>
          </cell>
          <cell r="AG41">
            <v>84999.129418638608</v>
          </cell>
          <cell r="AH41">
            <v>80875.121238679523</v>
          </cell>
          <cell r="AI41">
            <v>84027.583016846824</v>
          </cell>
        </row>
        <row r="42">
          <cell r="A42">
            <v>39</v>
          </cell>
          <cell r="D42">
            <v>10334296.788879186</v>
          </cell>
          <cell r="E42">
            <v>1048067.5861330245</v>
          </cell>
          <cell r="F42">
            <v>934217.76521570049</v>
          </cell>
          <cell r="G42">
            <v>912773.32856169145</v>
          </cell>
          <cell r="H42">
            <v>729255.88100107375</v>
          </cell>
          <cell r="I42">
            <v>794460.22602006339</v>
          </cell>
          <cell r="J42">
            <v>773908.72655565792</v>
          </cell>
          <cell r="K42">
            <v>799328.79501412285</v>
          </cell>
          <cell r="L42">
            <v>712511.75460123038</v>
          </cell>
          <cell r="M42">
            <v>781754.72976921056</v>
          </cell>
          <cell r="N42">
            <v>841145.61301003525</v>
          </cell>
          <cell r="O42">
            <v>895359.76521570142</v>
          </cell>
          <cell r="P42">
            <v>1111512.6177816733</v>
          </cell>
          <cell r="T42">
            <v>39</v>
          </cell>
          <cell r="X42">
            <v>1059287.3272957474</v>
          </cell>
          <cell r="Y42">
            <v>855202.85753237933</v>
          </cell>
          <cell r="Z42">
            <v>911229.36624793208</v>
          </cell>
          <cell r="AA42">
            <v>887749.1761612643</v>
          </cell>
          <cell r="AB42">
            <v>825462.32437433465</v>
          </cell>
          <cell r="AC42">
            <v>750550.53880611854</v>
          </cell>
          <cell r="AD42">
            <v>721173.31220177421</v>
          </cell>
          <cell r="AE42">
            <v>747088.49225825502</v>
          </cell>
          <cell r="AF42">
            <v>720996.20245399058</v>
          </cell>
          <cell r="AG42">
            <v>826041.48281235085</v>
          </cell>
          <cell r="AH42">
            <v>902139.04430811515</v>
          </cell>
          <cell r="AI42">
            <v>1061132.6092121955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676</v>
          </cell>
          <cell r="F45">
            <v>674</v>
          </cell>
          <cell r="G45">
            <v>673</v>
          </cell>
          <cell r="H45">
            <v>673</v>
          </cell>
          <cell r="I45">
            <v>674</v>
          </cell>
          <cell r="J45">
            <v>671</v>
          </cell>
          <cell r="K45">
            <v>673</v>
          </cell>
          <cell r="L45">
            <v>675</v>
          </cell>
          <cell r="M45">
            <v>676</v>
          </cell>
          <cell r="N45">
            <v>675</v>
          </cell>
          <cell r="O45">
            <v>674</v>
          </cell>
          <cell r="P45">
            <v>672</v>
          </cell>
          <cell r="T45">
            <v>42</v>
          </cell>
          <cell r="U45" t="str">
            <v>TS1 - RS</v>
          </cell>
          <cell r="X45">
            <v>669</v>
          </cell>
          <cell r="Y45">
            <v>667</v>
          </cell>
          <cell r="Z45">
            <v>670</v>
          </cell>
          <cell r="AA45">
            <v>670</v>
          </cell>
          <cell r="AB45">
            <v>669</v>
          </cell>
          <cell r="AC45">
            <v>671</v>
          </cell>
          <cell r="AD45">
            <v>669</v>
          </cell>
          <cell r="AE45">
            <v>669</v>
          </cell>
          <cell r="AF45">
            <v>667</v>
          </cell>
          <cell r="AG45">
            <v>674</v>
          </cell>
          <cell r="AH45">
            <v>671</v>
          </cell>
          <cell r="AI45">
            <v>666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>
            <v>44</v>
          </cell>
          <cell r="B47" t="str">
            <v>TS2</v>
          </cell>
          <cell r="E47">
            <v>22</v>
          </cell>
          <cell r="F47">
            <v>22</v>
          </cell>
          <cell r="G47">
            <v>22</v>
          </cell>
          <cell r="H47">
            <v>22</v>
          </cell>
          <cell r="I47">
            <v>22</v>
          </cell>
          <cell r="J47">
            <v>22</v>
          </cell>
          <cell r="K47">
            <v>22</v>
          </cell>
          <cell r="L47">
            <v>22</v>
          </cell>
          <cell r="M47">
            <v>22</v>
          </cell>
          <cell r="N47">
            <v>21</v>
          </cell>
          <cell r="O47">
            <v>21</v>
          </cell>
          <cell r="P47">
            <v>21</v>
          </cell>
          <cell r="T47">
            <v>44</v>
          </cell>
          <cell r="U47" t="str">
            <v>TS2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22</v>
          </cell>
          <cell r="AG47">
            <v>22</v>
          </cell>
          <cell r="AH47">
            <v>22</v>
          </cell>
          <cell r="AI47">
            <v>22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701</v>
          </cell>
          <cell r="F50">
            <v>699</v>
          </cell>
          <cell r="G50">
            <v>698</v>
          </cell>
          <cell r="H50">
            <v>698</v>
          </cell>
          <cell r="I50">
            <v>699</v>
          </cell>
          <cell r="J50">
            <v>696</v>
          </cell>
          <cell r="K50">
            <v>698</v>
          </cell>
          <cell r="L50">
            <v>700</v>
          </cell>
          <cell r="M50">
            <v>701</v>
          </cell>
          <cell r="N50">
            <v>699</v>
          </cell>
          <cell r="O50">
            <v>698</v>
          </cell>
          <cell r="P50">
            <v>696</v>
          </cell>
          <cell r="T50">
            <v>47</v>
          </cell>
          <cell r="X50">
            <v>695</v>
          </cell>
          <cell r="Y50">
            <v>693</v>
          </cell>
          <cell r="Z50">
            <v>696</v>
          </cell>
          <cell r="AA50">
            <v>696</v>
          </cell>
          <cell r="AB50">
            <v>695</v>
          </cell>
          <cell r="AC50">
            <v>697</v>
          </cell>
          <cell r="AD50">
            <v>695</v>
          </cell>
          <cell r="AE50">
            <v>695</v>
          </cell>
          <cell r="AF50">
            <v>692</v>
          </cell>
          <cell r="AG50">
            <v>699</v>
          </cell>
          <cell r="AH50">
            <v>696</v>
          </cell>
          <cell r="AI50">
            <v>691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11736.884798909337</v>
          </cell>
          <cell r="E53">
            <v>1177.8303632291363</v>
          </cell>
          <cell r="F53">
            <v>957.55575031648698</v>
          </cell>
          <cell r="G53">
            <v>988.65420196708556</v>
          </cell>
          <cell r="H53">
            <v>1058.3737462265053</v>
          </cell>
          <cell r="I53">
            <v>984.08024150355459</v>
          </cell>
          <cell r="J53">
            <v>880.15191352614727</v>
          </cell>
          <cell r="K53">
            <v>976.52838640568621</v>
          </cell>
          <cell r="L53">
            <v>819.10215210828824</v>
          </cell>
          <cell r="M53">
            <v>861.90768331872573</v>
          </cell>
          <cell r="N53">
            <v>850.31161748953127</v>
          </cell>
          <cell r="O53">
            <v>1028.2685753237893</v>
          </cell>
          <cell r="P53">
            <v>1154.1201674944011</v>
          </cell>
          <cell r="T53">
            <v>50</v>
          </cell>
          <cell r="U53" t="str">
            <v>TS1 - RS</v>
          </cell>
          <cell r="X53">
            <v>1086.1846333625508</v>
          </cell>
          <cell r="Y53">
            <v>974.87486610186045</v>
          </cell>
          <cell r="Z53">
            <v>984.44541824910016</v>
          </cell>
          <cell r="AA53">
            <v>948</v>
          </cell>
          <cell r="AB53">
            <v>979.419612425747</v>
          </cell>
          <cell r="AC53">
            <v>820.79559840295826</v>
          </cell>
          <cell r="AD53">
            <v>853.18239361184055</v>
          </cell>
          <cell r="AE53">
            <v>829.05346187554835</v>
          </cell>
          <cell r="AF53">
            <v>834.62167689161549</v>
          </cell>
          <cell r="AG53">
            <v>916.80007790437276</v>
          </cell>
          <cell r="AH53">
            <v>898.68341610672894</v>
          </cell>
          <cell r="AI53">
            <v>1037.9978576297599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>
            <v>52</v>
          </cell>
          <cell r="B55" t="str">
            <v>TS2</v>
          </cell>
          <cell r="D55">
            <v>7835.3257376570245</v>
          </cell>
          <cell r="E55">
            <v>719.91625279968821</v>
          </cell>
          <cell r="F55">
            <v>720.23760833576785</v>
          </cell>
          <cell r="G55">
            <v>699.14305190378809</v>
          </cell>
          <cell r="H55">
            <v>627.458369851008</v>
          </cell>
          <cell r="I55">
            <v>638.78663940013632</v>
          </cell>
          <cell r="J55">
            <v>594.87291849255041</v>
          </cell>
          <cell r="K55">
            <v>665.4591488947317</v>
          </cell>
          <cell r="L55">
            <v>583.88353296328739</v>
          </cell>
          <cell r="M55">
            <v>669.48193592365362</v>
          </cell>
          <cell r="N55">
            <v>578.08452624403549</v>
          </cell>
          <cell r="O55">
            <v>682.81721686629658</v>
          </cell>
          <cell r="P55">
            <v>655.18453598208191</v>
          </cell>
          <cell r="T55">
            <v>52</v>
          </cell>
          <cell r="U55" t="str">
            <v>TS2</v>
          </cell>
          <cell r="X55">
            <v>689.3533937092219</v>
          </cell>
          <cell r="Y55">
            <v>668.49839322231958</v>
          </cell>
          <cell r="Z55">
            <v>690.55117343460904</v>
          </cell>
          <cell r="AA55">
            <v>677</v>
          </cell>
          <cell r="AB55">
            <v>715.54873892297212</v>
          </cell>
          <cell r="AC55">
            <v>634.22046937384368</v>
          </cell>
          <cell r="AD55">
            <v>682.58837277242196</v>
          </cell>
          <cell r="AE55">
            <v>600.31843412211492</v>
          </cell>
          <cell r="AF55">
            <v>636.26740675820429</v>
          </cell>
          <cell r="AG55">
            <v>710.50345700652463</v>
          </cell>
          <cell r="AH55">
            <v>650.69237510955293</v>
          </cell>
          <cell r="AI55">
            <v>779.1226020060376</v>
          </cell>
        </row>
        <row r="56">
          <cell r="A56">
            <v>53</v>
          </cell>
          <cell r="B56" t="str">
            <v>TS3</v>
          </cell>
          <cell r="D56">
            <v>454.4356802025514</v>
          </cell>
          <cell r="E56">
            <v>31.706105755185508</v>
          </cell>
          <cell r="F56">
            <v>28.863569967864443</v>
          </cell>
          <cell r="G56">
            <v>38.260784886551754</v>
          </cell>
          <cell r="H56">
            <v>33.979939624111402</v>
          </cell>
          <cell r="I56">
            <v>48.624987827441814</v>
          </cell>
          <cell r="J56">
            <v>34.503846528386404</v>
          </cell>
          <cell r="K56">
            <v>43.365468886941279</v>
          </cell>
          <cell r="L56">
            <v>39.629954231181223</v>
          </cell>
          <cell r="M56">
            <v>33.31385724023761</v>
          </cell>
          <cell r="N56">
            <v>25.543869899698119</v>
          </cell>
          <cell r="O56">
            <v>41.003018794429835</v>
          </cell>
          <cell r="P56">
            <v>55.640276560521961</v>
          </cell>
          <cell r="T56">
            <v>53</v>
          </cell>
          <cell r="U56" t="str">
            <v>TS3</v>
          </cell>
          <cell r="X56">
            <v>43.34501898919077</v>
          </cell>
          <cell r="Y56">
            <v>33.213555360794622</v>
          </cell>
          <cell r="Z56">
            <v>21.668127373648844</v>
          </cell>
          <cell r="AA56">
            <v>23</v>
          </cell>
          <cell r="AB56">
            <v>37.204206836108675</v>
          </cell>
          <cell r="AC56">
            <v>39.536468984321743</v>
          </cell>
          <cell r="AD56">
            <v>41.918395169928907</v>
          </cell>
          <cell r="AE56">
            <v>25.928522738338689</v>
          </cell>
          <cell r="AF56">
            <v>40.100301879442988</v>
          </cell>
          <cell r="AG56">
            <v>19.141104294478527</v>
          </cell>
          <cell r="AH56">
            <v>23.751095530236636</v>
          </cell>
          <cell r="AI56">
            <v>28.178985295549712</v>
          </cell>
        </row>
        <row r="57">
          <cell r="A57">
            <v>54</v>
          </cell>
          <cell r="B57" t="str">
            <v>TS4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>
            <v>55</v>
          </cell>
          <cell r="D58">
            <v>20026.646216768913</v>
          </cell>
          <cell r="E58">
            <v>1929.45272178401</v>
          </cell>
          <cell r="F58">
            <v>1706.6569286201193</v>
          </cell>
          <cell r="G58">
            <v>1726.0580387574255</v>
          </cell>
          <cell r="H58">
            <v>1719.8120557016248</v>
          </cell>
          <cell r="I58">
            <v>1671.4918687311326</v>
          </cell>
          <cell r="J58">
            <v>1509.5286785470842</v>
          </cell>
          <cell r="K58">
            <v>1685.3530041873591</v>
          </cell>
          <cell r="L58">
            <v>1442.6156393027568</v>
          </cell>
          <cell r="M58">
            <v>1564.7034764826171</v>
          </cell>
          <cell r="N58">
            <v>1453.9400136332649</v>
          </cell>
          <cell r="O58">
            <v>1752.0888109845157</v>
          </cell>
          <cell r="P58">
            <v>1864.9449800370051</v>
          </cell>
          <cell r="T58">
            <v>55</v>
          </cell>
          <cell r="X58">
            <v>1818.8830460609636</v>
          </cell>
          <cell r="Y58">
            <v>1676.5868146849746</v>
          </cell>
          <cell r="Z58">
            <v>1696.6647190573578</v>
          </cell>
          <cell r="AA58">
            <v>1648</v>
          </cell>
          <cell r="AB58">
            <v>1732.1725581848277</v>
          </cell>
          <cell r="AC58">
            <v>1494.5525367611237</v>
          </cell>
          <cell r="AD58">
            <v>1577.6891615541915</v>
          </cell>
          <cell r="AE58">
            <v>1455.3004187360018</v>
          </cell>
          <cell r="AF58">
            <v>1510.9893855292628</v>
          </cell>
          <cell r="AG58">
            <v>1646.4446392053758</v>
          </cell>
          <cell r="AH58">
            <v>1573.1268867465185</v>
          </cell>
          <cell r="AI58">
            <v>1845.2994449313471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565</v>
          </cell>
          <cell r="F62">
            <v>564</v>
          </cell>
          <cell r="G62">
            <v>563</v>
          </cell>
          <cell r="H62">
            <v>556</v>
          </cell>
          <cell r="I62">
            <v>549</v>
          </cell>
          <cell r="J62">
            <v>545</v>
          </cell>
          <cell r="K62">
            <v>549</v>
          </cell>
          <cell r="L62">
            <v>549</v>
          </cell>
          <cell r="M62">
            <v>551</v>
          </cell>
          <cell r="N62">
            <v>554</v>
          </cell>
          <cell r="O62">
            <v>553</v>
          </cell>
          <cell r="P62">
            <v>554</v>
          </cell>
          <cell r="T62">
            <v>59</v>
          </cell>
          <cell r="U62" t="str">
            <v>Residential</v>
          </cell>
          <cell r="X62">
            <v>564</v>
          </cell>
          <cell r="Y62">
            <v>568</v>
          </cell>
          <cell r="Z62">
            <v>567</v>
          </cell>
          <cell r="AA62">
            <v>570</v>
          </cell>
          <cell r="AB62">
            <v>561</v>
          </cell>
          <cell r="AC62">
            <v>558</v>
          </cell>
          <cell r="AD62">
            <v>554</v>
          </cell>
          <cell r="AE62">
            <v>554</v>
          </cell>
          <cell r="AF62">
            <v>553</v>
          </cell>
          <cell r="AG62">
            <v>556</v>
          </cell>
          <cell r="AH62">
            <v>554</v>
          </cell>
          <cell r="AI62">
            <v>561</v>
          </cell>
        </row>
        <row r="63">
          <cell r="A63">
            <v>60</v>
          </cell>
          <cell r="B63" t="str">
            <v>Commercial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60</v>
          </cell>
          <cell r="U63" t="str">
            <v>Commercial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A64">
            <v>61</v>
          </cell>
          <cell r="B64" t="str">
            <v>Commercial Small Transp</v>
          </cell>
          <cell r="E64">
            <v>33</v>
          </cell>
          <cell r="F64">
            <v>32</v>
          </cell>
          <cell r="G64">
            <v>33</v>
          </cell>
          <cell r="H64">
            <v>33</v>
          </cell>
          <cell r="I64">
            <v>33</v>
          </cell>
          <cell r="J64">
            <v>33</v>
          </cell>
          <cell r="K64">
            <v>33</v>
          </cell>
          <cell r="L64">
            <v>33</v>
          </cell>
          <cell r="M64">
            <v>33</v>
          </cell>
          <cell r="N64">
            <v>34</v>
          </cell>
          <cell r="O64">
            <v>34</v>
          </cell>
          <cell r="P64">
            <v>35</v>
          </cell>
          <cell r="T64">
            <v>61</v>
          </cell>
          <cell r="U64" t="str">
            <v>Special Contract</v>
          </cell>
          <cell r="X64">
            <v>20</v>
          </cell>
          <cell r="Y64">
            <v>19</v>
          </cell>
          <cell r="Z64">
            <v>19</v>
          </cell>
          <cell r="AA64">
            <v>19</v>
          </cell>
          <cell r="AB64">
            <v>20</v>
          </cell>
          <cell r="AC64">
            <v>21</v>
          </cell>
          <cell r="AD64">
            <v>21</v>
          </cell>
          <cell r="AE64">
            <v>21</v>
          </cell>
          <cell r="AF64">
            <v>21</v>
          </cell>
          <cell r="AG64">
            <v>21</v>
          </cell>
          <cell r="AH64">
            <v>22</v>
          </cell>
          <cell r="AI64">
            <v>22</v>
          </cell>
        </row>
        <row r="65">
          <cell r="A65">
            <v>62</v>
          </cell>
          <cell r="B65" t="str">
            <v>Other</v>
          </cell>
          <cell r="E65">
            <v>9</v>
          </cell>
          <cell r="F65">
            <v>9</v>
          </cell>
          <cell r="G65">
            <v>9</v>
          </cell>
          <cell r="H65">
            <v>9</v>
          </cell>
          <cell r="I65">
            <v>9</v>
          </cell>
          <cell r="J65">
            <v>9</v>
          </cell>
          <cell r="K65">
            <v>9</v>
          </cell>
          <cell r="L65">
            <v>9</v>
          </cell>
          <cell r="M65">
            <v>9</v>
          </cell>
          <cell r="N65">
            <v>10</v>
          </cell>
          <cell r="O65">
            <v>9</v>
          </cell>
          <cell r="P65">
            <v>10</v>
          </cell>
          <cell r="T65">
            <v>62</v>
          </cell>
          <cell r="U65" t="str">
            <v>Other</v>
          </cell>
          <cell r="X65">
            <v>7</v>
          </cell>
          <cell r="Y65">
            <v>7</v>
          </cell>
          <cell r="Z65">
            <v>7</v>
          </cell>
          <cell r="AA65">
            <v>7</v>
          </cell>
          <cell r="AB65">
            <v>7</v>
          </cell>
          <cell r="AC65">
            <v>7</v>
          </cell>
          <cell r="AD65">
            <v>7</v>
          </cell>
          <cell r="AE65">
            <v>7</v>
          </cell>
          <cell r="AF65">
            <v>7</v>
          </cell>
          <cell r="AG65">
            <v>7</v>
          </cell>
          <cell r="AH65">
            <v>7</v>
          </cell>
          <cell r="AI65">
            <v>7</v>
          </cell>
        </row>
        <row r="66">
          <cell r="A66">
            <v>63</v>
          </cell>
          <cell r="E66">
            <v>607</v>
          </cell>
          <cell r="F66">
            <v>605</v>
          </cell>
          <cell r="G66">
            <v>605</v>
          </cell>
          <cell r="H66">
            <v>598</v>
          </cell>
          <cell r="I66">
            <v>591</v>
          </cell>
          <cell r="J66">
            <v>587</v>
          </cell>
          <cell r="K66">
            <v>591</v>
          </cell>
          <cell r="L66">
            <v>591</v>
          </cell>
          <cell r="M66">
            <v>593</v>
          </cell>
          <cell r="N66">
            <v>598</v>
          </cell>
          <cell r="O66">
            <v>596</v>
          </cell>
          <cell r="P66">
            <v>599</v>
          </cell>
          <cell r="T66">
            <v>63</v>
          </cell>
          <cell r="X66">
            <v>591</v>
          </cell>
          <cell r="Y66">
            <v>594</v>
          </cell>
          <cell r="Z66">
            <v>593</v>
          </cell>
          <cell r="AA66">
            <v>596</v>
          </cell>
          <cell r="AB66">
            <v>588</v>
          </cell>
          <cell r="AC66">
            <v>586</v>
          </cell>
          <cell r="AD66">
            <v>582</v>
          </cell>
          <cell r="AE66">
            <v>582</v>
          </cell>
          <cell r="AF66">
            <v>581</v>
          </cell>
          <cell r="AG66">
            <v>584</v>
          </cell>
          <cell r="AH66">
            <v>583</v>
          </cell>
          <cell r="AI66">
            <v>590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6784.0987437919839</v>
          </cell>
          <cell r="E69">
            <v>793.83094751192687</v>
          </cell>
          <cell r="F69">
            <v>735.16992891225698</v>
          </cell>
          <cell r="G69">
            <v>661.97682344921304</v>
          </cell>
          <cell r="H69">
            <v>585.17382413087671</v>
          </cell>
          <cell r="I69">
            <v>518.37958905443645</v>
          </cell>
          <cell r="J69">
            <v>445.59645535105619</v>
          </cell>
          <cell r="K69">
            <v>457.68916155419168</v>
          </cell>
          <cell r="L69">
            <v>399.73220371993472</v>
          </cell>
          <cell r="M69">
            <v>453.04021813224244</v>
          </cell>
          <cell r="N69">
            <v>454.62946732885342</v>
          </cell>
          <cell r="O69">
            <v>507.21978771058758</v>
          </cell>
          <cell r="P69">
            <v>771.66033693640816</v>
          </cell>
          <cell r="T69">
            <v>66</v>
          </cell>
          <cell r="U69" t="str">
            <v>Residential</v>
          </cell>
          <cell r="X69">
            <v>931.67591781088936</v>
          </cell>
          <cell r="Y69">
            <v>882.66043431687717</v>
          </cell>
          <cell r="Z69">
            <v>572.85422144317522</v>
          </cell>
          <cell r="AA69">
            <v>565.46791313662163</v>
          </cell>
          <cell r="AB69">
            <v>506.28590904664367</v>
          </cell>
          <cell r="AC69">
            <v>449.19661115980125</v>
          </cell>
          <cell r="AD69">
            <v>384.73269062226183</v>
          </cell>
          <cell r="AE69">
            <v>417.63073327490537</v>
          </cell>
          <cell r="AF69">
            <v>407.99493621579506</v>
          </cell>
          <cell r="AG69">
            <v>425.84477553802708</v>
          </cell>
          <cell r="AH69">
            <v>471.63988703865886</v>
          </cell>
          <cell r="AI69">
            <v>752.66238192618562</v>
          </cell>
        </row>
        <row r="70">
          <cell r="A70">
            <v>67</v>
          </cell>
          <cell r="B70" t="str">
            <v>Commercial</v>
          </cell>
          <cell r="D70">
            <v>16876.643295354952</v>
          </cell>
          <cell r="E70">
            <v>2268.6804946927646</v>
          </cell>
          <cell r="F70">
            <v>2563.7442788976532</v>
          </cell>
          <cell r="G70">
            <v>2303.813419028143</v>
          </cell>
          <cell r="H70">
            <v>1524.4132826954913</v>
          </cell>
          <cell r="I70">
            <v>585.64611938845064</v>
          </cell>
          <cell r="J70">
            <v>678.76229428376666</v>
          </cell>
          <cell r="K70">
            <v>778.47015288733076</v>
          </cell>
          <cell r="L70">
            <v>575.34618755477641</v>
          </cell>
          <cell r="M70">
            <v>682.87954036420297</v>
          </cell>
          <cell r="N70">
            <v>1060.0029214139645</v>
          </cell>
          <cell r="O70">
            <v>1477.9296913039243</v>
          </cell>
          <cell r="P70">
            <v>2376.9549128444833</v>
          </cell>
          <cell r="T70">
            <v>67</v>
          </cell>
          <cell r="U70" t="str">
            <v>Commercial</v>
          </cell>
          <cell r="X70">
            <v>733</v>
          </cell>
          <cell r="Y70">
            <v>593</v>
          </cell>
          <cell r="Z70">
            <v>393</v>
          </cell>
          <cell r="AA70">
            <v>411.32</v>
          </cell>
          <cell r="AB70">
            <v>345.02580582335185</v>
          </cell>
          <cell r="AC70">
            <v>336.17781672996398</v>
          </cell>
          <cell r="AD70">
            <v>200.73035349108972</v>
          </cell>
          <cell r="AE70">
            <v>1029.6679326127178</v>
          </cell>
          <cell r="AF70">
            <v>954.28376667640464</v>
          </cell>
          <cell r="AG70">
            <v>1257.0347648261761</v>
          </cell>
          <cell r="AH70">
            <v>1596.2781186094069</v>
          </cell>
          <cell r="AI70">
            <v>2430.2609796474826</v>
          </cell>
        </row>
        <row r="71">
          <cell r="A71">
            <v>68</v>
          </cell>
          <cell r="B71" t="str">
            <v>Commercial Small Transp</v>
          </cell>
          <cell r="D71">
            <v>2177.2567922874673</v>
          </cell>
          <cell r="E71">
            <v>223.62157951115006</v>
          </cell>
          <cell r="F71">
            <v>218.88791508423412</v>
          </cell>
          <cell r="G71">
            <v>212.39069042750023</v>
          </cell>
          <cell r="H71">
            <v>162.33323595286785</v>
          </cell>
          <cell r="I71">
            <v>131.36624793066511</v>
          </cell>
          <cell r="J71">
            <v>138.61524978089395</v>
          </cell>
          <cell r="K71">
            <v>149.62605901256208</v>
          </cell>
          <cell r="L71">
            <v>133.27198364008183</v>
          </cell>
          <cell r="M71">
            <v>181.55419222903888</v>
          </cell>
          <cell r="N71">
            <v>184.50968935631514</v>
          </cell>
          <cell r="O71">
            <v>204.30908559742912</v>
          </cell>
          <cell r="P71">
            <v>236.7708637647288</v>
          </cell>
          <cell r="T71">
            <v>68</v>
          </cell>
          <cell r="U71" t="str">
            <v>Special Contract</v>
          </cell>
          <cell r="X71">
            <v>245.69091440257085</v>
          </cell>
          <cell r="Y71">
            <v>217.35319894829098</v>
          </cell>
          <cell r="Z71">
            <v>238.58214042263123</v>
          </cell>
          <cell r="AA71">
            <v>212.97107800175286</v>
          </cell>
          <cell r="AB71">
            <v>224.82617586912062</v>
          </cell>
          <cell r="AC71">
            <v>191.98169247249001</v>
          </cell>
          <cell r="AD71">
            <v>157.91021521082871</v>
          </cell>
          <cell r="AE71">
            <v>189.54815464017918</v>
          </cell>
          <cell r="AF71">
            <v>210.61641834647972</v>
          </cell>
          <cell r="AG71">
            <v>214.97906319992208</v>
          </cell>
          <cell r="AH71">
            <v>213.46966598500339</v>
          </cell>
          <cell r="AI71">
            <v>215.73765702600056</v>
          </cell>
        </row>
        <row r="72">
          <cell r="A72">
            <v>69</v>
          </cell>
          <cell r="D72">
            <v>25837.998831434401</v>
          </cell>
          <cell r="E72">
            <v>3286.1330217158416</v>
          </cell>
          <cell r="F72">
            <v>3517.8021228941443</v>
          </cell>
          <cell r="G72">
            <v>3178.1809329048565</v>
          </cell>
          <cell r="H72">
            <v>2271.9203427792354</v>
          </cell>
          <cell r="I72">
            <v>1235.3919563735524</v>
          </cell>
          <cell r="J72">
            <v>1262.9739994157167</v>
          </cell>
          <cell r="K72">
            <v>1385.7853734540845</v>
          </cell>
          <cell r="L72">
            <v>1108.3503749147928</v>
          </cell>
          <cell r="M72">
            <v>1317.4739507254842</v>
          </cell>
          <cell r="N72">
            <v>1699.1420780991332</v>
          </cell>
          <cell r="O72">
            <v>2189.4585646119408</v>
          </cell>
          <cell r="P72">
            <v>3385.3861135456204</v>
          </cell>
          <cell r="T72">
            <v>69</v>
          </cell>
          <cell r="X72">
            <v>1910.3668322134602</v>
          </cell>
          <cell r="Y72">
            <v>1693.0136332651682</v>
          </cell>
          <cell r="Z72">
            <v>1204.4363618658065</v>
          </cell>
          <cell r="AA72">
            <v>1189.7589911383745</v>
          </cell>
          <cell r="AB72">
            <v>1076.1378907391161</v>
          </cell>
          <cell r="AC72">
            <v>977.3561203622553</v>
          </cell>
          <cell r="AD72">
            <v>743.37325932418025</v>
          </cell>
          <cell r="AE72">
            <v>1636.8468205278023</v>
          </cell>
          <cell r="AF72">
            <v>1572.8951212386796</v>
          </cell>
          <cell r="AG72">
            <v>1897.8586035641254</v>
          </cell>
          <cell r="AH72">
            <v>2281.3876716330692</v>
          </cell>
          <cell r="AI72">
            <v>3398.6610185996692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780565.10617211461</v>
          </cell>
          <cell r="E76">
            <v>64548.014876268098</v>
          </cell>
          <cell r="F76">
            <v>64587.534615693323</v>
          </cell>
          <cell r="G76">
            <v>64832.050975759863</v>
          </cell>
          <cell r="H76">
            <v>65079.544649875301</v>
          </cell>
          <cell r="I76">
            <v>64945.114949669442</v>
          </cell>
          <cell r="J76">
            <v>64939.582536389986</v>
          </cell>
          <cell r="K76">
            <v>65022.206887203938</v>
          </cell>
          <cell r="L76">
            <v>65136.648364478926</v>
          </cell>
          <cell r="M76">
            <v>65238.326877861786</v>
          </cell>
          <cell r="N76">
            <v>65188.742223675326</v>
          </cell>
          <cell r="O76">
            <v>65409.475011433686</v>
          </cell>
          <cell r="P76">
            <v>65637.864203804871</v>
          </cell>
          <cell r="T76">
            <v>73</v>
          </cell>
          <cell r="U76" t="str">
            <v xml:space="preserve">Customers </v>
          </cell>
          <cell r="X76">
            <v>62363</v>
          </cell>
          <cell r="Y76">
            <v>62468</v>
          </cell>
          <cell r="Z76">
            <v>62701</v>
          </cell>
          <cell r="AA76">
            <v>62839</v>
          </cell>
          <cell r="AB76">
            <v>62785</v>
          </cell>
          <cell r="AC76">
            <v>62788</v>
          </cell>
          <cell r="AD76">
            <v>62826</v>
          </cell>
          <cell r="AE76">
            <v>62927</v>
          </cell>
          <cell r="AF76">
            <v>62987</v>
          </cell>
          <cell r="AG76">
            <v>62970</v>
          </cell>
          <cell r="AH76">
            <v>63110</v>
          </cell>
          <cell r="AI76">
            <v>63370</v>
          </cell>
        </row>
        <row r="77">
          <cell r="A77">
            <v>74</v>
          </cell>
          <cell r="B77" t="str">
            <v>Volume (mcfs)</v>
          </cell>
          <cell r="D77">
            <v>10406898.57300326</v>
          </cell>
          <cell r="E77">
            <v>1060816.574933741</v>
          </cell>
          <cell r="F77">
            <v>975925.11585821735</v>
          </cell>
          <cell r="G77">
            <v>957650.73263229453</v>
          </cell>
          <cell r="H77">
            <v>910605.92119554651</v>
          </cell>
          <cell r="I77">
            <v>843311.1532706836</v>
          </cell>
          <cell r="J77">
            <v>816202.62078960519</v>
          </cell>
          <cell r="K77">
            <v>763606.03640170919</v>
          </cell>
          <cell r="L77">
            <v>747360.31051826302</v>
          </cell>
          <cell r="M77">
            <v>742100.65559104318</v>
          </cell>
          <cell r="N77">
            <v>769742.13658438425</v>
          </cell>
          <cell r="O77">
            <v>865350.14913226839</v>
          </cell>
          <cell r="P77">
            <v>954227.16609550244</v>
          </cell>
          <cell r="T77">
            <v>74</v>
          </cell>
          <cell r="U77" t="str">
            <v>Volume (mcfs)</v>
          </cell>
          <cell r="X77">
            <v>1003551.4655760054</v>
          </cell>
          <cell r="Y77">
            <v>945246.27519719547</v>
          </cell>
          <cell r="Z77">
            <v>935374.13574836892</v>
          </cell>
          <cell r="AA77">
            <v>882517.47979355336</v>
          </cell>
          <cell r="AB77">
            <v>803963.28756451455</v>
          </cell>
          <cell r="AC77">
            <v>786452.33226214815</v>
          </cell>
          <cell r="AD77">
            <v>743042.26312201773</v>
          </cell>
          <cell r="AE77">
            <v>728293.40734248713</v>
          </cell>
          <cell r="AF77">
            <v>718250.55993767653</v>
          </cell>
          <cell r="AG77">
            <v>760065.73181419808</v>
          </cell>
          <cell r="AH77">
            <v>818185.21764534037</v>
          </cell>
          <cell r="AI77">
            <v>913469.17908267595</v>
          </cell>
        </row>
        <row r="78">
          <cell r="A78">
            <v>75</v>
          </cell>
          <cell r="B78" t="str">
            <v>Volume (dts) (mcfs*1.0269)</v>
          </cell>
          <cell r="D78">
            <v>10686844</v>
          </cell>
          <cell r="E78">
            <v>1089353</v>
          </cell>
          <cell r="F78">
            <v>1002178</v>
          </cell>
          <cell r="G78">
            <v>983412</v>
          </cell>
          <cell r="H78">
            <v>935101</v>
          </cell>
          <cell r="I78">
            <v>865996</v>
          </cell>
          <cell r="J78">
            <v>838158</v>
          </cell>
          <cell r="K78">
            <v>784147</v>
          </cell>
          <cell r="L78">
            <v>767464</v>
          </cell>
          <cell r="M78">
            <v>762063</v>
          </cell>
          <cell r="N78">
            <v>790448</v>
          </cell>
          <cell r="O78">
            <v>888628</v>
          </cell>
          <cell r="P78">
            <v>979896</v>
          </cell>
          <cell r="T78">
            <v>75</v>
          </cell>
          <cell r="U78" t="str">
            <v>Volume (dts) (mcfs*1.0269)</v>
          </cell>
          <cell r="X78">
            <v>1030547</v>
          </cell>
          <cell r="Y78">
            <v>970673</v>
          </cell>
          <cell r="Z78">
            <v>960536</v>
          </cell>
          <cell r="AA78">
            <v>906257</v>
          </cell>
          <cell r="AB78">
            <v>825590</v>
          </cell>
          <cell r="AC78">
            <v>807608</v>
          </cell>
          <cell r="AD78">
            <v>763030</v>
          </cell>
          <cell r="AE78">
            <v>747885</v>
          </cell>
          <cell r="AF78">
            <v>737572</v>
          </cell>
          <cell r="AG78">
            <v>780512</v>
          </cell>
          <cell r="AH78">
            <v>840194</v>
          </cell>
          <cell r="AI78">
            <v>938042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- 2020 - actual in Dts (mcfs*1.0269)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- 2018 - actual in Dts (mcfs*1.0269)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1533316</v>
          </cell>
          <cell r="E81">
            <v>192037</v>
          </cell>
          <cell r="F81">
            <v>170345</v>
          </cell>
          <cell r="G81">
            <v>154551</v>
          </cell>
          <cell r="H81">
            <v>142418</v>
          </cell>
          <cell r="I81">
            <v>132840</v>
          </cell>
          <cell r="J81">
            <v>101093</v>
          </cell>
          <cell r="K81">
            <v>87095</v>
          </cell>
          <cell r="L81">
            <v>78224</v>
          </cell>
          <cell r="M81">
            <v>77936</v>
          </cell>
          <cell r="N81">
            <v>84842</v>
          </cell>
          <cell r="O81">
            <v>119876</v>
          </cell>
          <cell r="P81">
            <v>192059</v>
          </cell>
          <cell r="T81">
            <v>78</v>
          </cell>
          <cell r="U81" t="str">
            <v>Residential</v>
          </cell>
          <cell r="W81">
            <v>1392382</v>
          </cell>
          <cell r="X81">
            <v>197238</v>
          </cell>
          <cell r="Y81">
            <v>171051</v>
          </cell>
          <cell r="Z81">
            <v>137037</v>
          </cell>
          <cell r="AA81">
            <v>130062</v>
          </cell>
          <cell r="AB81">
            <v>104031</v>
          </cell>
          <cell r="AC81">
            <v>82932</v>
          </cell>
          <cell r="AD81">
            <v>68316</v>
          </cell>
          <cell r="AE81">
            <v>70119</v>
          </cell>
          <cell r="AF81">
            <v>76086</v>
          </cell>
          <cell r="AG81">
            <v>79680</v>
          </cell>
          <cell r="AH81">
            <v>106751</v>
          </cell>
          <cell r="AI81">
            <v>169079</v>
          </cell>
        </row>
        <row r="82">
          <cell r="A82">
            <v>79</v>
          </cell>
          <cell r="B82" t="str">
            <v>Commercial</v>
          </cell>
          <cell r="D82">
            <v>1497452</v>
          </cell>
          <cell r="E82">
            <v>188988</v>
          </cell>
          <cell r="F82">
            <v>175917</v>
          </cell>
          <cell r="G82">
            <v>154678</v>
          </cell>
          <cell r="H82">
            <v>102840</v>
          </cell>
          <cell r="I82">
            <v>98142</v>
          </cell>
          <cell r="J82">
            <v>96012</v>
          </cell>
          <cell r="K82">
            <v>103916</v>
          </cell>
          <cell r="L82">
            <v>101665</v>
          </cell>
          <cell r="M82">
            <v>96923</v>
          </cell>
          <cell r="N82">
            <v>104880</v>
          </cell>
          <cell r="O82">
            <v>123834</v>
          </cell>
          <cell r="P82">
            <v>149657</v>
          </cell>
          <cell r="T82">
            <v>79</v>
          </cell>
          <cell r="U82" t="str">
            <v>Commercial</v>
          </cell>
          <cell r="W82">
            <v>1714574</v>
          </cell>
          <cell r="X82">
            <v>182932</v>
          </cell>
          <cell r="Y82">
            <v>171965</v>
          </cell>
          <cell r="Z82">
            <v>149149</v>
          </cell>
          <cell r="AA82">
            <v>156232</v>
          </cell>
          <cell r="AB82">
            <v>138016</v>
          </cell>
          <cell r="AC82">
            <v>132307</v>
          </cell>
          <cell r="AD82">
            <v>108687</v>
          </cell>
          <cell r="AE82">
            <v>122072</v>
          </cell>
          <cell r="AF82">
            <v>113968</v>
          </cell>
          <cell r="AG82">
            <v>121838</v>
          </cell>
          <cell r="AH82">
            <v>145032</v>
          </cell>
          <cell r="AI82">
            <v>172376</v>
          </cell>
        </row>
        <row r="83">
          <cell r="A83">
            <v>80</v>
          </cell>
          <cell r="B83" t="str">
            <v xml:space="preserve">Industrial </v>
          </cell>
          <cell r="D83">
            <v>4653692</v>
          </cell>
          <cell r="E83">
            <v>479340</v>
          </cell>
          <cell r="F83">
            <v>446392</v>
          </cell>
          <cell r="G83">
            <v>437633</v>
          </cell>
          <cell r="H83">
            <v>343945</v>
          </cell>
          <cell r="I83">
            <v>335454</v>
          </cell>
          <cell r="J83">
            <v>343273</v>
          </cell>
          <cell r="K83">
            <v>367171</v>
          </cell>
          <cell r="L83">
            <v>355213</v>
          </cell>
          <cell r="M83">
            <v>357694</v>
          </cell>
          <cell r="N83">
            <v>368354</v>
          </cell>
          <cell r="O83">
            <v>389594</v>
          </cell>
          <cell r="P83">
            <v>429629</v>
          </cell>
          <cell r="T83">
            <v>80</v>
          </cell>
          <cell r="U83" t="str">
            <v xml:space="preserve">Industrial </v>
          </cell>
          <cell r="W83">
            <v>4968745</v>
          </cell>
          <cell r="X83">
            <v>485508</v>
          </cell>
          <cell r="Y83">
            <v>435072</v>
          </cell>
          <cell r="Z83">
            <v>426657</v>
          </cell>
          <cell r="AA83">
            <v>426367</v>
          </cell>
          <cell r="AB83">
            <v>412801</v>
          </cell>
          <cell r="AC83">
            <v>387606</v>
          </cell>
          <cell r="AD83">
            <v>368966</v>
          </cell>
          <cell r="AE83">
            <v>378791</v>
          </cell>
          <cell r="AF83">
            <v>366602</v>
          </cell>
          <cell r="AG83">
            <v>392861</v>
          </cell>
          <cell r="AH83">
            <v>425164</v>
          </cell>
          <cell r="AI83">
            <v>462350</v>
          </cell>
        </row>
        <row r="84">
          <cell r="A84">
            <v>81</v>
          </cell>
          <cell r="B84" t="str">
            <v>Other</v>
          </cell>
          <cell r="D84">
            <v>2974932</v>
          </cell>
          <cell r="E84">
            <v>221252</v>
          </cell>
          <cell r="F84">
            <v>172060</v>
          </cell>
          <cell r="G84">
            <v>195501</v>
          </cell>
          <cell r="H84">
            <v>163770</v>
          </cell>
          <cell r="I84">
            <v>252380</v>
          </cell>
          <cell r="J84">
            <v>257197</v>
          </cell>
          <cell r="K84">
            <v>265803</v>
          </cell>
          <cell r="L84">
            <v>199197</v>
          </cell>
          <cell r="M84">
            <v>273191</v>
          </cell>
          <cell r="N84">
            <v>308934</v>
          </cell>
          <cell r="O84">
            <v>290188</v>
          </cell>
          <cell r="P84">
            <v>375459</v>
          </cell>
          <cell r="T84">
            <v>81</v>
          </cell>
          <cell r="U84" t="str">
            <v>Other</v>
          </cell>
          <cell r="W84">
            <v>2574925</v>
          </cell>
          <cell r="X84">
            <v>225934</v>
          </cell>
          <cell r="Y84">
            <v>103580</v>
          </cell>
          <cell r="Z84">
            <v>225877</v>
          </cell>
          <cell r="AA84">
            <v>201883</v>
          </cell>
          <cell r="AB84">
            <v>210181</v>
          </cell>
          <cell r="AC84">
            <v>222007</v>
          </cell>
          <cell r="AD84">
            <v>196987</v>
          </cell>
          <cell r="AE84">
            <v>199378</v>
          </cell>
          <cell r="AF84">
            <v>186902</v>
          </cell>
          <cell r="AG84">
            <v>257522</v>
          </cell>
          <cell r="AH84">
            <v>253417</v>
          </cell>
          <cell r="AI84">
            <v>291257</v>
          </cell>
        </row>
        <row r="85">
          <cell r="A85">
            <v>82</v>
          </cell>
          <cell r="B85" t="str">
            <v>Total Deliveries</v>
          </cell>
          <cell r="D85">
            <v>10659392</v>
          </cell>
          <cell r="E85">
            <v>1081617</v>
          </cell>
          <cell r="F85">
            <v>964714</v>
          </cell>
          <cell r="G85">
            <v>942363</v>
          </cell>
          <cell r="H85">
            <v>752973</v>
          </cell>
          <cell r="I85">
            <v>818816</v>
          </cell>
          <cell r="J85">
            <v>797575</v>
          </cell>
          <cell r="K85">
            <v>823985</v>
          </cell>
          <cell r="L85">
            <v>734299</v>
          </cell>
          <cell r="M85">
            <v>805744</v>
          </cell>
          <cell r="N85">
            <v>867010</v>
          </cell>
          <cell r="O85">
            <v>923492</v>
          </cell>
          <cell r="P85">
            <v>1146804</v>
          </cell>
          <cell r="T85">
            <v>82</v>
          </cell>
          <cell r="U85" t="str">
            <v>Total Deliveries</v>
          </cell>
          <cell r="W85">
            <v>10650626</v>
          </cell>
          <cell r="X85">
            <v>1091612</v>
          </cell>
          <cell r="Y85">
            <v>881668</v>
          </cell>
          <cell r="Z85">
            <v>938720</v>
          </cell>
          <cell r="AA85">
            <v>914544</v>
          </cell>
          <cell r="AB85">
            <v>865029</v>
          </cell>
          <cell r="AC85">
            <v>824852</v>
          </cell>
          <cell r="AD85">
            <v>742956</v>
          </cell>
          <cell r="AE85">
            <v>770360</v>
          </cell>
          <cell r="AF85">
            <v>743558</v>
          </cell>
          <cell r="AG85">
            <v>851901</v>
          </cell>
          <cell r="AH85">
            <v>930364</v>
          </cell>
          <cell r="AI85">
            <v>1095062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- 2019</v>
          </cell>
          <cell r="T89">
            <v>86</v>
          </cell>
          <cell r="U89" t="str">
            <v>Customers - 2018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58765</v>
          </cell>
          <cell r="F91">
            <v>58841</v>
          </cell>
          <cell r="G91">
            <v>58937</v>
          </cell>
          <cell r="H91">
            <v>59078</v>
          </cell>
          <cell r="I91">
            <v>59175</v>
          </cell>
          <cell r="J91">
            <v>59280</v>
          </cell>
          <cell r="K91">
            <v>59413</v>
          </cell>
          <cell r="L91">
            <v>59526</v>
          </cell>
          <cell r="M91">
            <v>59638</v>
          </cell>
          <cell r="N91">
            <v>59761</v>
          </cell>
          <cell r="O91">
            <v>59891</v>
          </cell>
          <cell r="P91">
            <v>60016</v>
          </cell>
          <cell r="T91">
            <v>88</v>
          </cell>
          <cell r="U91" t="str">
            <v>Residential</v>
          </cell>
          <cell r="X91">
            <v>56743</v>
          </cell>
          <cell r="Y91">
            <v>56770</v>
          </cell>
          <cell r="Z91">
            <v>56829</v>
          </cell>
          <cell r="AA91">
            <v>56980</v>
          </cell>
          <cell r="AB91">
            <v>57069</v>
          </cell>
          <cell r="AC91">
            <v>57166</v>
          </cell>
          <cell r="AD91">
            <v>57328</v>
          </cell>
          <cell r="AE91">
            <v>57386</v>
          </cell>
          <cell r="AF91">
            <v>57444</v>
          </cell>
          <cell r="AG91">
            <v>57501</v>
          </cell>
          <cell r="AH91">
            <v>57569</v>
          </cell>
          <cell r="AI91">
            <v>57653</v>
          </cell>
        </row>
        <row r="92">
          <cell r="A92">
            <v>89</v>
          </cell>
          <cell r="B92" t="str">
            <v>Commercial</v>
          </cell>
          <cell r="E92">
            <v>3978</v>
          </cell>
          <cell r="F92">
            <v>3978</v>
          </cell>
          <cell r="G92">
            <v>3981</v>
          </cell>
          <cell r="H92">
            <v>3985</v>
          </cell>
          <cell r="I92">
            <v>3981</v>
          </cell>
          <cell r="J92">
            <v>3981</v>
          </cell>
          <cell r="K92">
            <v>3983</v>
          </cell>
          <cell r="L92">
            <v>3982</v>
          </cell>
          <cell r="M92">
            <v>3982</v>
          </cell>
          <cell r="N92">
            <v>3984</v>
          </cell>
          <cell r="O92">
            <v>3987</v>
          </cell>
          <cell r="P92">
            <v>3990</v>
          </cell>
          <cell r="T92">
            <v>89</v>
          </cell>
          <cell r="U92" t="str">
            <v>Commercial</v>
          </cell>
          <cell r="X92">
            <v>3892</v>
          </cell>
          <cell r="Y92">
            <v>3897</v>
          </cell>
          <cell r="Z92">
            <v>3897</v>
          </cell>
          <cell r="AA92">
            <v>3908</v>
          </cell>
          <cell r="AB92">
            <v>3913</v>
          </cell>
          <cell r="AC92">
            <v>3917</v>
          </cell>
          <cell r="AD92">
            <v>3917</v>
          </cell>
          <cell r="AE92">
            <v>3920</v>
          </cell>
          <cell r="AF92">
            <v>3923</v>
          </cell>
          <cell r="AG92">
            <v>3926</v>
          </cell>
          <cell r="AH92">
            <v>3929</v>
          </cell>
          <cell r="AI92">
            <v>3932</v>
          </cell>
        </row>
        <row r="93">
          <cell r="A93">
            <v>90</v>
          </cell>
          <cell r="B93" t="str">
            <v xml:space="preserve">Industrial </v>
          </cell>
          <cell r="E93">
            <v>2493</v>
          </cell>
          <cell r="F93">
            <v>2497</v>
          </cell>
          <cell r="G93">
            <v>2498</v>
          </cell>
          <cell r="H93">
            <v>2502</v>
          </cell>
          <cell r="I93">
            <v>2505</v>
          </cell>
          <cell r="J93">
            <v>2508</v>
          </cell>
          <cell r="K93">
            <v>2510</v>
          </cell>
          <cell r="L93">
            <v>2511</v>
          </cell>
          <cell r="M93">
            <v>2511</v>
          </cell>
          <cell r="N93">
            <v>2513</v>
          </cell>
          <cell r="O93">
            <v>2513</v>
          </cell>
          <cell r="P93">
            <v>2514</v>
          </cell>
          <cell r="T93">
            <v>90</v>
          </cell>
          <cell r="U93" t="str">
            <v xml:space="preserve">Industrial </v>
          </cell>
          <cell r="X93">
            <v>2409</v>
          </cell>
          <cell r="Y93">
            <v>2412</v>
          </cell>
          <cell r="Z93">
            <v>2415</v>
          </cell>
          <cell r="AA93">
            <v>2420</v>
          </cell>
          <cell r="AB93">
            <v>2422</v>
          </cell>
          <cell r="AC93">
            <v>2425</v>
          </cell>
          <cell r="AD93">
            <v>2427</v>
          </cell>
          <cell r="AE93">
            <v>2428</v>
          </cell>
          <cell r="AF93">
            <v>2430</v>
          </cell>
          <cell r="AG93">
            <v>2431</v>
          </cell>
          <cell r="AH93">
            <v>2434</v>
          </cell>
          <cell r="AI93">
            <v>2436</v>
          </cell>
        </row>
        <row r="94">
          <cell r="A94">
            <v>91</v>
          </cell>
          <cell r="B94" t="str">
            <v>Other</v>
          </cell>
          <cell r="E94">
            <v>14</v>
          </cell>
          <cell r="F94">
            <v>14</v>
          </cell>
          <cell r="G94">
            <v>14</v>
          </cell>
          <cell r="H94">
            <v>14</v>
          </cell>
          <cell r="I94">
            <v>14</v>
          </cell>
          <cell r="J94">
            <v>14</v>
          </cell>
          <cell r="K94">
            <v>14</v>
          </cell>
          <cell r="L94">
            <v>14</v>
          </cell>
          <cell r="M94">
            <v>14</v>
          </cell>
          <cell r="N94">
            <v>14</v>
          </cell>
          <cell r="O94">
            <v>14</v>
          </cell>
          <cell r="P94">
            <v>14</v>
          </cell>
          <cell r="T94">
            <v>91</v>
          </cell>
          <cell r="U94" t="str">
            <v>Other</v>
          </cell>
          <cell r="X94">
            <v>12</v>
          </cell>
          <cell r="Y94">
            <v>12</v>
          </cell>
          <cell r="Z94">
            <v>12</v>
          </cell>
          <cell r="AA94">
            <v>12</v>
          </cell>
          <cell r="AB94">
            <v>12</v>
          </cell>
          <cell r="AC94">
            <v>12</v>
          </cell>
          <cell r="AD94">
            <v>12</v>
          </cell>
          <cell r="AE94">
            <v>12</v>
          </cell>
          <cell r="AF94">
            <v>12</v>
          </cell>
          <cell r="AG94">
            <v>12</v>
          </cell>
          <cell r="AH94">
            <v>12</v>
          </cell>
          <cell r="AI94">
            <v>12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65250</v>
          </cell>
          <cell r="F95">
            <v>65330</v>
          </cell>
          <cell r="G95">
            <v>65430</v>
          </cell>
          <cell r="H95">
            <v>65579</v>
          </cell>
          <cell r="I95">
            <v>65675</v>
          </cell>
          <cell r="J95">
            <v>65783</v>
          </cell>
          <cell r="K95">
            <v>65920</v>
          </cell>
          <cell r="L95">
            <v>66033</v>
          </cell>
          <cell r="M95">
            <v>66145</v>
          </cell>
          <cell r="N95">
            <v>66272</v>
          </cell>
          <cell r="O95">
            <v>66405</v>
          </cell>
          <cell r="P95">
            <v>66534</v>
          </cell>
          <cell r="T95">
            <v>92</v>
          </cell>
          <cell r="U95" t="str">
            <v>Total customers</v>
          </cell>
          <cell r="X95">
            <v>63056</v>
          </cell>
          <cell r="Y95">
            <v>63091</v>
          </cell>
          <cell r="Z95">
            <v>63153</v>
          </cell>
          <cell r="AA95">
            <v>63320</v>
          </cell>
          <cell r="AB95">
            <v>63416</v>
          </cell>
          <cell r="AC95">
            <v>63520</v>
          </cell>
          <cell r="AD95">
            <v>63684</v>
          </cell>
          <cell r="AE95">
            <v>63746</v>
          </cell>
          <cell r="AF95">
            <v>63809</v>
          </cell>
          <cell r="AG95">
            <v>63870</v>
          </cell>
          <cell r="AH95">
            <v>63944</v>
          </cell>
          <cell r="AI95">
            <v>64033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86054</v>
          </cell>
          <cell r="T97">
            <v>94</v>
          </cell>
        </row>
        <row r="98">
          <cell r="A98">
            <v>95</v>
          </cell>
          <cell r="B98" t="str">
            <v>Volume - 2020 -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- 2018 -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187006.33752069631</v>
          </cell>
          <cell r="F99">
            <v>352888.62304022419</v>
          </cell>
          <cell r="G99">
            <v>503391.36819554679</v>
          </cell>
          <cell r="H99">
            <v>642078.31434415211</v>
          </cell>
          <cell r="I99">
            <v>771438.97166229703</v>
          </cell>
          <cell r="J99">
            <v>869883.46966600232</v>
          </cell>
          <cell r="K99">
            <v>954697.05910996255</v>
          </cell>
          <cell r="L99">
            <v>1030871.6135943364</v>
          </cell>
          <cell r="M99">
            <v>1106765.5896387442</v>
          </cell>
          <cell r="N99">
            <v>1189385.4464894652</v>
          </cell>
          <cell r="O99">
            <v>1306121.4597332124</v>
          </cell>
          <cell r="P99">
            <v>1493149.0690427856</v>
          </cell>
          <cell r="T99">
            <v>96</v>
          </cell>
          <cell r="U99" t="str">
            <v>Residential</v>
          </cell>
          <cell r="X99">
            <v>192071.13448242616</v>
          </cell>
          <cell r="Y99">
            <v>358641.38280261366</v>
          </cell>
          <cell r="Z99">
            <v>492088.5149479066</v>
          </cell>
          <cell r="AA99">
            <v>618743.64514559123</v>
          </cell>
          <cell r="AB99">
            <v>720049.76648165577</v>
          </cell>
          <cell r="AC99">
            <v>800809.48018309043</v>
          </cell>
          <cell r="AD99">
            <v>867335.96864350722</v>
          </cell>
          <cell r="AE99">
            <v>935618.23760835489</v>
          </cell>
          <cell r="AF99">
            <v>1009711.5290680911</v>
          </cell>
          <cell r="AG99">
            <v>1087304.4086084582</v>
          </cell>
          <cell r="AH99">
            <v>1191259.4538903781</v>
          </cell>
          <cell r="AI99">
            <v>1355909.7022105688</v>
          </cell>
        </row>
        <row r="100">
          <cell r="A100">
            <v>97</v>
          </cell>
          <cell r="B100" t="str">
            <v>Commercial</v>
          </cell>
          <cell r="E100">
            <v>184037.55088129322</v>
          </cell>
          <cell r="F100">
            <v>355346.26740675827</v>
          </cell>
          <cell r="G100">
            <v>505972.09173239843</v>
          </cell>
          <cell r="H100">
            <v>606117.82744181517</v>
          </cell>
          <cell r="I100">
            <v>701688.9161554192</v>
          </cell>
          <cell r="J100">
            <v>795185.41143246659</v>
          </cell>
          <cell r="K100">
            <v>896379.30665108562</v>
          </cell>
          <cell r="L100">
            <v>995381.30197682336</v>
          </cell>
          <cell r="M100">
            <v>1089765.4065634431</v>
          </cell>
          <cell r="N100">
            <v>1191898.1867757326</v>
          </cell>
          <cell r="O100">
            <v>1312488.3299250167</v>
          </cell>
          <cell r="P100">
            <v>1458225.1738241306</v>
          </cell>
          <cell r="T100">
            <v>97</v>
          </cell>
          <cell r="U100" t="str">
            <v>Commercial</v>
          </cell>
          <cell r="X100">
            <v>178139.71633070408</v>
          </cell>
          <cell r="Y100">
            <v>345600.09192715923</v>
          </cell>
          <cell r="Z100">
            <v>490842.43655662658</v>
          </cell>
          <cell r="AA100">
            <v>642981.84108287073</v>
          </cell>
          <cell r="AB100">
            <v>777382.90642516315</v>
          </cell>
          <cell r="AC100">
            <v>906224.33986561501</v>
          </cell>
          <cell r="AD100">
            <v>1012064.6894614862</v>
          </cell>
          <cell r="AE100">
            <v>1130939.3539857825</v>
          </cell>
          <cell r="AF100">
            <v>1241921.4603252506</v>
          </cell>
          <cell r="AG100">
            <v>1360568.122122894</v>
          </cell>
          <cell r="AH100">
            <v>1501800.898439965</v>
          </cell>
          <cell r="AI100">
            <v>1669661.2645905153</v>
          </cell>
        </row>
        <row r="101">
          <cell r="A101">
            <v>98</v>
          </cell>
          <cell r="B101" t="str">
            <v xml:space="preserve">Industrial </v>
          </cell>
          <cell r="E101">
            <v>466783.26808842132</v>
          </cell>
          <cell r="F101">
            <v>901482.03525172791</v>
          </cell>
          <cell r="G101">
            <v>1327651.0935826269</v>
          </cell>
          <cell r="H101">
            <v>1662585.9966890635</v>
          </cell>
          <cell r="I101">
            <v>1989252.2816243055</v>
          </cell>
          <cell r="J101">
            <v>2323533.0908559738</v>
          </cell>
          <cell r="K101">
            <v>2681085.7610283373</v>
          </cell>
          <cell r="L101">
            <v>3026993.425844775</v>
          </cell>
          <cell r="M101">
            <v>3375317.1087739794</v>
          </cell>
          <cell r="N101">
            <v>3734021.5152400425</v>
          </cell>
          <cell r="O101">
            <v>4113409.925990846</v>
          </cell>
          <cell r="P101">
            <v>4531784.5661700256</v>
          </cell>
          <cell r="T101">
            <v>98</v>
          </cell>
          <cell r="U101" t="str">
            <v xml:space="preserve">Industrial </v>
          </cell>
          <cell r="X101">
            <v>472789.75557503139</v>
          </cell>
          <cell r="Y101">
            <v>896465.11442204658</v>
          </cell>
          <cell r="Z101">
            <v>1311946.1096504037</v>
          </cell>
          <cell r="AA101">
            <v>1727144.020839419</v>
          </cell>
          <cell r="AB101">
            <v>2129131.5580874467</v>
          </cell>
          <cell r="AC101">
            <v>2506583.9497516789</v>
          </cell>
          <cell r="AD101">
            <v>2865884.3850423596</v>
          </cell>
          <cell r="AE101">
            <v>3234753.2943811463</v>
          </cell>
          <cell r="AF101">
            <v>3591751.9057357088</v>
          </cell>
          <cell r="AG101">
            <v>3974321.8463336248</v>
          </cell>
          <cell r="AH101">
            <v>4388349.007693056</v>
          </cell>
          <cell r="AI101">
            <v>4838587.8264680095</v>
          </cell>
        </row>
        <row r="102">
          <cell r="A102">
            <v>99</v>
          </cell>
          <cell r="B102" t="str">
            <v>Other</v>
          </cell>
          <cell r="E102">
            <v>215456.01538611352</v>
          </cell>
          <cell r="F102">
            <v>383008.47044502868</v>
          </cell>
          <cell r="G102">
            <v>573388.41016652063</v>
          </cell>
          <cell r="H102">
            <v>732868.43860161654</v>
          </cell>
          <cell r="I102">
            <v>978637.51747979363</v>
          </cell>
          <cell r="J102">
            <v>1229096.9442009933</v>
          </cell>
          <cell r="K102">
            <v>1487936.7227578149</v>
          </cell>
          <cell r="L102">
            <v>1681915.2287467136</v>
          </cell>
          <cell r="M102">
            <v>1947950.3723829002</v>
          </cell>
          <cell r="N102">
            <v>2248792.0239555947</v>
          </cell>
          <cell r="O102">
            <v>2531378.7694030581</v>
          </cell>
          <cell r="P102">
            <v>2897002.6248904471</v>
          </cell>
          <cell r="T102">
            <v>99</v>
          </cell>
          <cell r="U102" t="str">
            <v>Other</v>
          </cell>
          <cell r="X102">
            <v>220015.97078586035</v>
          </cell>
          <cell r="Y102">
            <v>320882.44600253191</v>
          </cell>
          <cell r="Z102">
            <v>540842.44132826955</v>
          </cell>
          <cell r="AA102">
            <v>737436.93056772812</v>
          </cell>
          <cell r="AB102">
            <v>942111.84146460216</v>
          </cell>
          <cell r="AC102">
            <v>1158303.7501217255</v>
          </cell>
          <cell r="AD102">
            <v>1350130.8513974096</v>
          </cell>
          <cell r="AE102">
            <v>1544285.6480669978</v>
          </cell>
          <cell r="AF102">
            <v>1726291.7258739898</v>
          </cell>
          <cell r="AG102">
            <v>1977068.0299931834</v>
          </cell>
          <cell r="AH102">
            <v>2223846.6059012562</v>
          </cell>
          <cell r="AI102">
            <v>2507473.7423312883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1053283.1718765243</v>
          </cell>
          <cell r="F103">
            <v>1992725.3961437391</v>
          </cell>
          <cell r="G103">
            <v>2910402.9636770925</v>
          </cell>
          <cell r="H103">
            <v>3643650.5770766474</v>
          </cell>
          <cell r="I103">
            <v>4441017.6869218154</v>
          </cell>
          <cell r="J103">
            <v>5217698.9161554361</v>
          </cell>
          <cell r="K103">
            <v>6020098.8495471999</v>
          </cell>
          <cell r="L103">
            <v>6735161.5701626483</v>
          </cell>
          <cell r="M103">
            <v>7519798.4773590676</v>
          </cell>
          <cell r="N103">
            <v>8364097.1724608354</v>
          </cell>
          <cell r="O103">
            <v>9263398.485052133</v>
          </cell>
          <cell r="P103">
            <v>10380161.433927389</v>
          </cell>
          <cell r="T103">
            <v>100</v>
          </cell>
          <cell r="U103" t="str">
            <v>Total Deliveries</v>
          </cell>
          <cell r="X103">
            <v>1063016.5771740221</v>
          </cell>
          <cell r="Y103">
            <v>1921589.0351543515</v>
          </cell>
          <cell r="Z103">
            <v>2835719.5024832063</v>
          </cell>
          <cell r="AA103">
            <v>3726306.4376356089</v>
          </cell>
          <cell r="AB103">
            <v>4568676.0724588679</v>
          </cell>
          <cell r="AC103">
            <v>5371921.5199221103</v>
          </cell>
          <cell r="AD103">
            <v>6095415.8945447635</v>
          </cell>
          <cell r="AE103">
            <v>6845596.5340422811</v>
          </cell>
          <cell r="AF103">
            <v>7569676.621003041</v>
          </cell>
          <cell r="AG103">
            <v>8399262.4070581608</v>
          </cell>
          <cell r="AH103">
            <v>9305255.9659246542</v>
          </cell>
          <cell r="AI103">
            <v>10371632.535600383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- 2020 -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- 2018 -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192037</v>
          </cell>
          <cell r="F107">
            <v>362382</v>
          </cell>
          <cell r="G107">
            <v>516933</v>
          </cell>
          <cell r="H107">
            <v>659351</v>
          </cell>
          <cell r="I107">
            <v>792191</v>
          </cell>
          <cell r="J107">
            <v>893284</v>
          </cell>
          <cell r="K107">
            <v>980379</v>
          </cell>
          <cell r="L107">
            <v>1058603</v>
          </cell>
          <cell r="M107">
            <v>1136539</v>
          </cell>
          <cell r="N107">
            <v>1221381</v>
          </cell>
          <cell r="O107">
            <v>1341257</v>
          </cell>
          <cell r="P107">
            <v>1533316</v>
          </cell>
          <cell r="T107">
            <v>104</v>
          </cell>
          <cell r="U107" t="str">
            <v>Residential</v>
          </cell>
          <cell r="X107">
            <v>197238</v>
          </cell>
          <cell r="Y107">
            <v>368289</v>
          </cell>
          <cell r="Z107">
            <v>505326</v>
          </cell>
          <cell r="AA107">
            <v>635388</v>
          </cell>
          <cell r="AB107">
            <v>739419</v>
          </cell>
          <cell r="AC107">
            <v>822351</v>
          </cell>
          <cell r="AD107">
            <v>890667</v>
          </cell>
          <cell r="AE107">
            <v>960786</v>
          </cell>
          <cell r="AF107">
            <v>1036872</v>
          </cell>
          <cell r="AG107">
            <v>1116552</v>
          </cell>
          <cell r="AH107">
            <v>1223303</v>
          </cell>
          <cell r="AI107">
            <v>1392382</v>
          </cell>
        </row>
        <row r="108">
          <cell r="A108">
            <v>105</v>
          </cell>
          <cell r="B108" t="str">
            <v>Commercial</v>
          </cell>
          <cell r="E108">
            <v>188988</v>
          </cell>
          <cell r="F108">
            <v>364905</v>
          </cell>
          <cell r="G108">
            <v>519583</v>
          </cell>
          <cell r="H108">
            <v>622423</v>
          </cell>
          <cell r="I108">
            <v>720565</v>
          </cell>
          <cell r="J108">
            <v>816577</v>
          </cell>
          <cell r="K108">
            <v>920493</v>
          </cell>
          <cell r="L108">
            <v>1022158</v>
          </cell>
          <cell r="M108">
            <v>1119081</v>
          </cell>
          <cell r="N108">
            <v>1223961</v>
          </cell>
          <cell r="O108">
            <v>1347795</v>
          </cell>
          <cell r="P108">
            <v>1497452</v>
          </cell>
          <cell r="T108">
            <v>105</v>
          </cell>
          <cell r="U108" t="str">
            <v>Commercial</v>
          </cell>
          <cell r="X108">
            <v>182932</v>
          </cell>
          <cell r="Y108">
            <v>354897</v>
          </cell>
          <cell r="Z108">
            <v>504046</v>
          </cell>
          <cell r="AA108">
            <v>660278</v>
          </cell>
          <cell r="AB108">
            <v>798294</v>
          </cell>
          <cell r="AC108">
            <v>930601</v>
          </cell>
          <cell r="AD108">
            <v>1039288</v>
          </cell>
          <cell r="AE108">
            <v>1161360</v>
          </cell>
          <cell r="AF108">
            <v>1275328</v>
          </cell>
          <cell r="AG108">
            <v>1397166</v>
          </cell>
          <cell r="AH108">
            <v>1542198</v>
          </cell>
          <cell r="AI108">
            <v>1714574</v>
          </cell>
        </row>
        <row r="109">
          <cell r="A109">
            <v>106</v>
          </cell>
          <cell r="B109" t="str">
            <v xml:space="preserve">Industrial </v>
          </cell>
          <cell r="E109">
            <v>479340</v>
          </cell>
          <cell r="F109">
            <v>925732</v>
          </cell>
          <cell r="G109">
            <v>1363365</v>
          </cell>
          <cell r="H109">
            <v>1707310</v>
          </cell>
          <cell r="I109">
            <v>2042764</v>
          </cell>
          <cell r="J109">
            <v>2386037</v>
          </cell>
          <cell r="K109">
            <v>2753208</v>
          </cell>
          <cell r="L109">
            <v>3108421</v>
          </cell>
          <cell r="M109">
            <v>3466115</v>
          </cell>
          <cell r="N109">
            <v>3834469</v>
          </cell>
          <cell r="O109">
            <v>4224063</v>
          </cell>
          <cell r="P109">
            <v>4653692</v>
          </cell>
          <cell r="T109">
            <v>106</v>
          </cell>
          <cell r="U109" t="str">
            <v xml:space="preserve">Industrial </v>
          </cell>
          <cell r="X109">
            <v>485508</v>
          </cell>
          <cell r="Y109">
            <v>920580</v>
          </cell>
          <cell r="Z109">
            <v>1347237</v>
          </cell>
          <cell r="AA109">
            <v>1773604</v>
          </cell>
          <cell r="AB109">
            <v>2186405</v>
          </cell>
          <cell r="AC109">
            <v>2574011</v>
          </cell>
          <cell r="AD109">
            <v>2942977</v>
          </cell>
          <cell r="AE109">
            <v>3321768</v>
          </cell>
          <cell r="AF109">
            <v>3688370</v>
          </cell>
          <cell r="AG109">
            <v>4081231</v>
          </cell>
          <cell r="AH109">
            <v>4506395</v>
          </cell>
          <cell r="AI109">
            <v>4968745</v>
          </cell>
        </row>
        <row r="110">
          <cell r="A110">
            <v>107</v>
          </cell>
          <cell r="B110" t="str">
            <v>Other</v>
          </cell>
          <cell r="E110">
            <v>221252</v>
          </cell>
          <cell r="F110">
            <v>393312</v>
          </cell>
          <cell r="G110">
            <v>588813</v>
          </cell>
          <cell r="H110">
            <v>752583</v>
          </cell>
          <cell r="I110">
            <v>1004963</v>
          </cell>
          <cell r="J110">
            <v>1262160</v>
          </cell>
          <cell r="K110">
            <v>1527963</v>
          </cell>
          <cell r="L110">
            <v>1727160</v>
          </cell>
          <cell r="M110">
            <v>2000351</v>
          </cell>
          <cell r="N110">
            <v>2309285</v>
          </cell>
          <cell r="O110">
            <v>2599473</v>
          </cell>
          <cell r="P110">
            <v>2974932</v>
          </cell>
          <cell r="T110">
            <v>107</v>
          </cell>
          <cell r="U110" t="str">
            <v>Other</v>
          </cell>
          <cell r="X110">
            <v>225934</v>
          </cell>
          <cell r="Y110">
            <v>329514</v>
          </cell>
          <cell r="Z110">
            <v>555391</v>
          </cell>
          <cell r="AA110">
            <v>757274</v>
          </cell>
          <cell r="AB110">
            <v>967455</v>
          </cell>
          <cell r="AC110">
            <v>1189462</v>
          </cell>
          <cell r="AD110">
            <v>1386449</v>
          </cell>
          <cell r="AE110">
            <v>1585827</v>
          </cell>
          <cell r="AF110">
            <v>1772729</v>
          </cell>
          <cell r="AG110">
            <v>2030251</v>
          </cell>
          <cell r="AH110">
            <v>2283668</v>
          </cell>
          <cell r="AI110">
            <v>2574925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1081617</v>
          </cell>
          <cell r="F111">
            <v>2046331</v>
          </cell>
          <cell r="G111">
            <v>2988694</v>
          </cell>
          <cell r="H111">
            <v>3741667</v>
          </cell>
          <cell r="I111">
            <v>4560483</v>
          </cell>
          <cell r="J111">
            <v>5358058</v>
          </cell>
          <cell r="K111">
            <v>6182043</v>
          </cell>
          <cell r="L111">
            <v>6916342</v>
          </cell>
          <cell r="M111">
            <v>7722086</v>
          </cell>
          <cell r="N111">
            <v>8589096</v>
          </cell>
          <cell r="O111">
            <v>9512588</v>
          </cell>
          <cell r="P111">
            <v>10659392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1091612</v>
          </cell>
          <cell r="Y111">
            <v>1973280</v>
          </cell>
          <cell r="Z111">
            <v>2912000</v>
          </cell>
          <cell r="AA111">
            <v>3826544</v>
          </cell>
          <cell r="AB111">
            <v>4691573</v>
          </cell>
          <cell r="AC111">
            <v>5516425</v>
          </cell>
          <cell r="AD111">
            <v>6259381</v>
          </cell>
          <cell r="AE111">
            <v>7029741</v>
          </cell>
          <cell r="AF111">
            <v>7773299</v>
          </cell>
          <cell r="AG111">
            <v>8625200</v>
          </cell>
          <cell r="AH111">
            <v>9555564</v>
          </cell>
          <cell r="AI111">
            <v>10650626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E114">
            <v>64548.014876268098</v>
          </cell>
          <cell r="F114">
            <v>64568</v>
          </cell>
          <cell r="G114">
            <v>64656</v>
          </cell>
          <cell r="H114">
            <v>64762</v>
          </cell>
          <cell r="I114">
            <v>64798</v>
          </cell>
          <cell r="J114">
            <v>64822</v>
          </cell>
          <cell r="K114">
            <v>64851</v>
          </cell>
          <cell r="L114">
            <v>64886</v>
          </cell>
          <cell r="M114">
            <v>64925</v>
          </cell>
          <cell r="N114">
            <v>64952</v>
          </cell>
          <cell r="O114">
            <v>64993</v>
          </cell>
          <cell r="P114">
            <v>65047</v>
          </cell>
          <cell r="T114">
            <v>111</v>
          </cell>
          <cell r="U114" t="str">
            <v xml:space="preserve">Customers </v>
          </cell>
        </row>
        <row r="115">
          <cell r="A115">
            <v>112</v>
          </cell>
          <cell r="B115" t="str">
            <v>Volume (mcfs)</v>
          </cell>
          <cell r="E115">
            <v>1060816.574933741</v>
          </cell>
          <cell r="F115">
            <v>2036741.6907919585</v>
          </cell>
          <cell r="G115">
            <v>2994392.4234242532</v>
          </cell>
          <cell r="H115">
            <v>3904998.3446197999</v>
          </cell>
          <cell r="I115">
            <v>4748309.4978904836</v>
          </cell>
          <cell r="J115">
            <v>5564512.1186800888</v>
          </cell>
          <cell r="K115">
            <v>6328118.1550817983</v>
          </cell>
          <cell r="L115">
            <v>7075478.4656000612</v>
          </cell>
          <cell r="M115">
            <v>7817579.1211911049</v>
          </cell>
          <cell r="N115">
            <v>8587321.2577754892</v>
          </cell>
          <cell r="O115">
            <v>9452671.4069077577</v>
          </cell>
          <cell r="P115">
            <v>10406898.57300326</v>
          </cell>
          <cell r="T115">
            <v>112</v>
          </cell>
          <cell r="U115" t="str">
            <v>Volume (mcfs)</v>
          </cell>
        </row>
        <row r="116">
          <cell r="A116">
            <v>113</v>
          </cell>
          <cell r="B116" t="str">
            <v>Volume (dts)</v>
          </cell>
          <cell r="E116">
            <v>1089353</v>
          </cell>
          <cell r="F116">
            <v>2091531</v>
          </cell>
          <cell r="G116">
            <v>3074943</v>
          </cell>
          <cell r="H116">
            <v>4010044</v>
          </cell>
          <cell r="I116">
            <v>4876040</v>
          </cell>
          <cell r="J116">
            <v>5714198</v>
          </cell>
          <cell r="K116">
            <v>6498345</v>
          </cell>
          <cell r="L116">
            <v>7265809</v>
          </cell>
          <cell r="M116">
            <v>8027872</v>
          </cell>
          <cell r="N116">
            <v>8818320</v>
          </cell>
          <cell r="O116">
            <v>9706948</v>
          </cell>
          <cell r="P116">
            <v>10686844</v>
          </cell>
          <cell r="T116">
            <v>113</v>
          </cell>
          <cell r="U116" t="str">
            <v>Volume (dts)</v>
          </cell>
        </row>
      </sheetData>
      <sheetData sheetId="17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15</v>
          </cell>
          <cell r="D7">
            <v>183</v>
          </cell>
          <cell r="E7">
            <v>15</v>
          </cell>
          <cell r="F7">
            <v>15</v>
          </cell>
          <cell r="G7">
            <v>15</v>
          </cell>
          <cell r="H7">
            <v>15</v>
          </cell>
          <cell r="I7">
            <v>15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16</v>
          </cell>
          <cell r="O7">
            <v>15</v>
          </cell>
          <cell r="P7">
            <v>16</v>
          </cell>
          <cell r="T7">
            <v>4</v>
          </cell>
          <cell r="U7" t="str">
            <v>Interruptible transporation</v>
          </cell>
          <cell r="V7">
            <v>16</v>
          </cell>
          <cell r="W7">
            <v>188</v>
          </cell>
          <cell r="X7">
            <v>17</v>
          </cell>
          <cell r="Y7">
            <v>17</v>
          </cell>
          <cell r="Z7">
            <v>17</v>
          </cell>
          <cell r="AA7">
            <v>17</v>
          </cell>
          <cell r="AB7">
            <v>15</v>
          </cell>
          <cell r="AC7">
            <v>15</v>
          </cell>
          <cell r="AD7">
            <v>15</v>
          </cell>
          <cell r="AE7">
            <v>16</v>
          </cell>
          <cell r="AF7">
            <v>14</v>
          </cell>
          <cell r="AG7">
            <v>15</v>
          </cell>
          <cell r="AH7">
            <v>16</v>
          </cell>
          <cell r="AI7">
            <v>14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-41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-4</v>
          </cell>
          <cell r="M8">
            <v>-4</v>
          </cell>
          <cell r="N8">
            <v>-4</v>
          </cell>
          <cell r="O8">
            <v>-4</v>
          </cell>
          <cell r="P8">
            <v>-4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12</v>
          </cell>
          <cell r="D9">
            <v>142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13</v>
          </cell>
          <cell r="K9">
            <v>12</v>
          </cell>
          <cell r="L9">
            <v>11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T9">
            <v>6</v>
          </cell>
          <cell r="U9" t="str">
            <v>Total customers</v>
          </cell>
          <cell r="V9">
            <v>13</v>
          </cell>
          <cell r="W9">
            <v>152</v>
          </cell>
          <cell r="X9">
            <v>14</v>
          </cell>
          <cell r="Y9">
            <v>14</v>
          </cell>
          <cell r="Z9">
            <v>14</v>
          </cell>
          <cell r="AA9">
            <v>14</v>
          </cell>
          <cell r="AB9">
            <v>12</v>
          </cell>
          <cell r="AC9">
            <v>12</v>
          </cell>
          <cell r="AD9">
            <v>12</v>
          </cell>
          <cell r="AE9">
            <v>13</v>
          </cell>
          <cell r="AF9">
            <v>11</v>
          </cell>
          <cell r="AG9">
            <v>12</v>
          </cell>
          <cell r="AH9">
            <v>13</v>
          </cell>
          <cell r="AI9">
            <v>11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(2020)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- 2019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W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W13">
            <v>0</v>
          </cell>
        </row>
        <row r="14">
          <cell r="A14">
            <v>11</v>
          </cell>
          <cell r="B14" t="str">
            <v>Transportation firm</v>
          </cell>
          <cell r="D14">
            <v>56396272.156289391</v>
          </cell>
          <cell r="E14">
            <v>6111377.1692528548</v>
          </cell>
          <cell r="F14">
            <v>5464969.4106676867</v>
          </cell>
          <cell r="G14">
            <v>4862587.2238713903</v>
          </cell>
          <cell r="H14">
            <v>4874562.6753390292</v>
          </cell>
          <cell r="I14">
            <v>4245826.2208081242</v>
          </cell>
          <cell r="J14">
            <v>4041834.3130735727</v>
          </cell>
          <cell r="K14">
            <v>4553001.3821359174</v>
          </cell>
          <cell r="L14">
            <v>4565446.4088782603</v>
          </cell>
          <cell r="M14">
            <v>3867295.948835507</v>
          </cell>
          <cell r="N14">
            <v>3513161.0119585781</v>
          </cell>
          <cell r="O14">
            <v>4666835.3337246412</v>
          </cell>
          <cell r="P14">
            <v>5629375.0577438334</v>
          </cell>
          <cell r="T14">
            <v>11</v>
          </cell>
          <cell r="U14" t="str">
            <v>Transportation firm</v>
          </cell>
          <cell r="W14">
            <v>56925329.472958371</v>
          </cell>
          <cell r="X14">
            <v>5683906.7201076737</v>
          </cell>
          <cell r="Y14">
            <v>5060114.7645505061</v>
          </cell>
          <cell r="Z14">
            <v>5354586.4205762679</v>
          </cell>
          <cell r="AA14">
            <v>3917944.4352078852</v>
          </cell>
          <cell r="AB14">
            <v>4423232.9327124339</v>
          </cell>
          <cell r="AC14">
            <v>4460349.957215474</v>
          </cell>
          <cell r="AD14">
            <v>4560984.6408340307</v>
          </cell>
          <cell r="AE14">
            <v>4517442.8395373579</v>
          </cell>
          <cell r="AF14">
            <v>4101162.6305443109</v>
          </cell>
          <cell r="AG14">
            <v>4174692.7643467202</v>
          </cell>
          <cell r="AH14">
            <v>5265836.6380472025</v>
          </cell>
          <cell r="AI14">
            <v>5405074.7292785114</v>
          </cell>
        </row>
        <row r="15">
          <cell r="A15">
            <v>12</v>
          </cell>
          <cell r="B15" t="str">
            <v>Interruptible transportation</v>
          </cell>
          <cell r="D15">
            <v>382702.40743573615</v>
          </cell>
          <cell r="E15">
            <v>31978.752223761541</v>
          </cell>
          <cell r="F15">
            <v>18896.895984710634</v>
          </cell>
          <cell r="G15">
            <v>40147.075831759124</v>
          </cell>
          <cell r="H15">
            <v>10518.89762415014</v>
          </cell>
          <cell r="I15">
            <v>11532.652394386831</v>
          </cell>
          <cell r="J15">
            <v>9453.1823783801519</v>
          </cell>
          <cell r="K15">
            <v>12642.336302975027</v>
          </cell>
          <cell r="L15">
            <v>9098.2436181697867</v>
          </cell>
          <cell r="M15">
            <v>8908.5164993931921</v>
          </cell>
          <cell r="N15">
            <v>9013.173099144904</v>
          </cell>
          <cell r="O15">
            <v>29215.062064658276</v>
          </cell>
          <cell r="P15">
            <v>191297.61941424655</v>
          </cell>
          <cell r="T15">
            <v>12</v>
          </cell>
          <cell r="U15" t="str">
            <v>Interruptible transporation</v>
          </cell>
          <cell r="W15">
            <v>597710.22637323232</v>
          </cell>
          <cell r="X15">
            <v>23466.434880499619</v>
          </cell>
          <cell r="Y15">
            <v>48846.36219385334</v>
          </cell>
          <cell r="Z15">
            <v>101510.37054590354</v>
          </cell>
          <cell r="AA15">
            <v>24082.433249307338</v>
          </cell>
          <cell r="AB15">
            <v>23589.767278039373</v>
          </cell>
          <cell r="AC15">
            <v>25820.870956284707</v>
          </cell>
          <cell r="AD15">
            <v>62476.316877771038</v>
          </cell>
          <cell r="AE15">
            <v>36028.122871074163</v>
          </cell>
          <cell r="AF15">
            <v>26659.308123581144</v>
          </cell>
          <cell r="AG15">
            <v>82373.487383118714</v>
          </cell>
          <cell r="AH15">
            <v>114962.65352481422</v>
          </cell>
          <cell r="AI15">
            <v>27894.098488985102</v>
          </cell>
        </row>
        <row r="16">
          <cell r="A16">
            <v>13</v>
          </cell>
          <cell r="B16" t="str">
            <v>Less: ESNG to DE, MD &amp; SP</v>
          </cell>
          <cell r="D16">
            <v>-12849608.41193342</v>
          </cell>
          <cell r="E16">
            <v>-1719371.9055465725</v>
          </cell>
          <cell r="F16">
            <v>-1512050.2992466097</v>
          </cell>
          <cell r="G16">
            <v>-1225973.4376807124</v>
          </cell>
          <cell r="H16">
            <v>-984007.92527596944</v>
          </cell>
          <cell r="I16">
            <v>-773975.43492027372</v>
          </cell>
          <cell r="J16">
            <v>-623987.24520078476</v>
          </cell>
          <cell r="K16">
            <v>-585261.53706281132</v>
          </cell>
          <cell r="L16">
            <v>-662319.24435725086</v>
          </cell>
          <cell r="M16">
            <v>-750509.52591936209</v>
          </cell>
          <cell r="N16">
            <v>-923170.94279086357</v>
          </cell>
          <cell r="O16">
            <v>-1172181.1156506645</v>
          </cell>
          <cell r="P16">
            <v>-1916799.7982815437</v>
          </cell>
          <cell r="T16">
            <v>13</v>
          </cell>
          <cell r="U16" t="str">
            <v>Less: ESNG to DE, MD and SP</v>
          </cell>
          <cell r="W16">
            <v>-12980530.216464523</v>
          </cell>
          <cell r="X16">
            <v>-1984175.4248588751</v>
          </cell>
          <cell r="Y16">
            <v>-1606039.2807321155</v>
          </cell>
          <cell r="Z16">
            <v>-1535558.4188071499</v>
          </cell>
          <cell r="AA16">
            <v>-833363.285413209</v>
          </cell>
          <cell r="AB16">
            <v>-680677.33128548018</v>
          </cell>
          <cell r="AC16">
            <v>-608699.16750647547</v>
          </cell>
          <cell r="AD16">
            <v>-605464.67007126566</v>
          </cell>
          <cell r="AE16">
            <v>-619206.45126721321</v>
          </cell>
          <cell r="AF16">
            <v>-662887.22647457407</v>
          </cell>
          <cell r="AG16">
            <v>-778064.25430139538</v>
          </cell>
          <cell r="AH16">
            <v>-1385202.903014669</v>
          </cell>
          <cell r="AI16">
            <v>-1681191.8027321005</v>
          </cell>
        </row>
        <row r="17">
          <cell r="A17">
            <v>14</v>
          </cell>
          <cell r="B17" t="str">
            <v>Total Deliveries</v>
          </cell>
          <cell r="D17">
            <v>43929366.151791707</v>
          </cell>
          <cell r="E17">
            <v>4423984.0159300435</v>
          </cell>
          <cell r="F17">
            <v>3971816.0074057872</v>
          </cell>
          <cell r="G17">
            <v>3676760.8620224367</v>
          </cell>
          <cell r="H17">
            <v>3901073.6476872098</v>
          </cell>
          <cell r="I17">
            <v>3483383.4382822374</v>
          </cell>
          <cell r="J17">
            <v>3427300.2502511679</v>
          </cell>
          <cell r="K17">
            <v>3980382.1813760814</v>
          </cell>
          <cell r="L17">
            <v>3912225.4081391795</v>
          </cell>
          <cell r="M17">
            <v>3125694.9394155382</v>
          </cell>
          <cell r="N17">
            <v>2599003.2422668594</v>
          </cell>
          <cell r="O17">
            <v>3523869.2801386346</v>
          </cell>
          <cell r="P17">
            <v>3903872.8788765362</v>
          </cell>
          <cell r="T17">
            <v>14</v>
          </cell>
          <cell r="U17" t="str">
            <v>Total Deliveries</v>
          </cell>
          <cell r="W17">
            <v>44542509.482867077</v>
          </cell>
          <cell r="X17">
            <v>3723197.7301292983</v>
          </cell>
          <cell r="Y17">
            <v>3502921.846012244</v>
          </cell>
          <cell r="Z17">
            <v>3920538.3723150212</v>
          </cell>
          <cell r="AA17">
            <v>3108663.5830439837</v>
          </cell>
          <cell r="AB17">
            <v>3766145.3687049933</v>
          </cell>
          <cell r="AC17">
            <v>3877471.6606652834</v>
          </cell>
          <cell r="AD17">
            <v>4017996.2876405362</v>
          </cell>
          <cell r="AE17">
            <v>3934264.5111412187</v>
          </cell>
          <cell r="AF17">
            <v>3464934.7121933177</v>
          </cell>
          <cell r="AG17">
            <v>3479001.9974284433</v>
          </cell>
          <cell r="AH17">
            <v>3995596.3885573475</v>
          </cell>
          <cell r="AI17">
            <v>3751777.0250353962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1.036532</v>
          </cell>
          <cell r="F20">
            <v>1.0381069999999999</v>
          </cell>
          <cell r="G20">
            <v>1.03756</v>
          </cell>
          <cell r="H20">
            <v>1.038702</v>
          </cell>
          <cell r="I20">
            <v>1.0374890000000001</v>
          </cell>
          <cell r="J20">
            <v>1.0361590000000001</v>
          </cell>
          <cell r="K20">
            <v>1.0339069999999999</v>
          </cell>
          <cell r="L20">
            <v>1.0337160000000001</v>
          </cell>
          <cell r="M20">
            <v>1.0382199999999999</v>
          </cell>
          <cell r="N20">
            <v>1.0341530000000001</v>
          </cell>
          <cell r="O20">
            <v>1.037547</v>
          </cell>
          <cell r="P20">
            <v>1.039072</v>
          </cell>
          <cell r="T20">
            <v>17</v>
          </cell>
          <cell r="X20">
            <v>1.0446409999999999</v>
          </cell>
          <cell r="Y20">
            <v>1.043005</v>
          </cell>
          <cell r="Z20">
            <v>1.042327</v>
          </cell>
          <cell r="AA20">
            <v>1.040551</v>
          </cell>
          <cell r="AB20">
            <v>1.039137</v>
          </cell>
          <cell r="AC20">
            <v>1.0389269999999999</v>
          </cell>
          <cell r="AD20">
            <v>1.0397700000000001</v>
          </cell>
          <cell r="AE20">
            <v>1.0451280000000001</v>
          </cell>
          <cell r="AF20">
            <v>1.038249</v>
          </cell>
          <cell r="AG20">
            <v>1.0398369999999999</v>
          </cell>
          <cell r="AH20">
            <v>1.0389200000000001</v>
          </cell>
          <cell r="AI20">
            <v>1.034735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58475678</v>
          </cell>
          <cell r="E22">
            <v>6334638</v>
          </cell>
          <cell r="F22">
            <v>5673223</v>
          </cell>
          <cell r="G22">
            <v>5045226</v>
          </cell>
          <cell r="H22">
            <v>5063218</v>
          </cell>
          <cell r="I22">
            <v>4404998</v>
          </cell>
          <cell r="J22">
            <v>4187983</v>
          </cell>
          <cell r="K22">
            <v>4707380</v>
          </cell>
          <cell r="L22">
            <v>4719375</v>
          </cell>
          <cell r="M22">
            <v>4015104</v>
          </cell>
          <cell r="N22">
            <v>3633146</v>
          </cell>
          <cell r="O22">
            <v>4842061</v>
          </cell>
          <cell r="P22">
            <v>5849326</v>
          </cell>
          <cell r="T22">
            <v>19</v>
          </cell>
          <cell r="U22" t="str">
            <v>Transportation firm</v>
          </cell>
          <cell r="W22">
            <v>59230053</v>
          </cell>
          <cell r="X22">
            <v>5937642</v>
          </cell>
          <cell r="Y22">
            <v>5277725</v>
          </cell>
          <cell r="Z22">
            <v>5581230</v>
          </cell>
          <cell r="AA22">
            <v>4076821</v>
          </cell>
          <cell r="AB22">
            <v>4596345</v>
          </cell>
          <cell r="AC22">
            <v>4633978</v>
          </cell>
          <cell r="AD22">
            <v>4742375</v>
          </cell>
          <cell r="AE22">
            <v>4721306</v>
          </cell>
          <cell r="AF22">
            <v>4258028</v>
          </cell>
          <cell r="AG22">
            <v>4341000</v>
          </cell>
          <cell r="AH22">
            <v>5470783</v>
          </cell>
          <cell r="AI22">
            <v>5592820</v>
          </cell>
        </row>
        <row r="23">
          <cell r="A23">
            <v>20</v>
          </cell>
          <cell r="B23" t="str">
            <v>Interruptible transportation</v>
          </cell>
          <cell r="D23">
            <v>397235</v>
          </cell>
          <cell r="E23">
            <v>33147</v>
          </cell>
          <cell r="F23">
            <v>19617</v>
          </cell>
          <cell r="G23">
            <v>41655</v>
          </cell>
          <cell r="H23">
            <v>10926</v>
          </cell>
          <cell r="I23">
            <v>11965</v>
          </cell>
          <cell r="J23">
            <v>9795</v>
          </cell>
          <cell r="K23">
            <v>13071</v>
          </cell>
          <cell r="L23">
            <v>9405</v>
          </cell>
          <cell r="M23">
            <v>9249</v>
          </cell>
          <cell r="N23">
            <v>9321</v>
          </cell>
          <cell r="O23">
            <v>30312</v>
          </cell>
          <cell r="P23">
            <v>198772</v>
          </cell>
          <cell r="T23">
            <v>20</v>
          </cell>
          <cell r="U23" t="str">
            <v>Interruptible transportation</v>
          </cell>
          <cell r="W23">
            <v>621915</v>
          </cell>
          <cell r="X23">
            <v>24514</v>
          </cell>
          <cell r="Y23">
            <v>50947</v>
          </cell>
          <cell r="Z23">
            <v>105807</v>
          </cell>
          <cell r="AA23">
            <v>25059</v>
          </cell>
          <cell r="AB23">
            <v>24513</v>
          </cell>
          <cell r="AC23">
            <v>26826</v>
          </cell>
          <cell r="AD23">
            <v>64961</v>
          </cell>
          <cell r="AE23">
            <v>37654</v>
          </cell>
          <cell r="AF23">
            <v>27679</v>
          </cell>
          <cell r="AG23">
            <v>85655</v>
          </cell>
          <cell r="AH23">
            <v>119437</v>
          </cell>
          <cell r="AI23">
            <v>28863</v>
          </cell>
        </row>
        <row r="24">
          <cell r="A24">
            <v>21</v>
          </cell>
          <cell r="B24" t="str">
            <v>Less: ESNG to DE, MD, EK &amp; SP</v>
          </cell>
          <cell r="D24">
            <v>-13327043</v>
          </cell>
          <cell r="E24">
            <v>-1782184</v>
          </cell>
          <cell r="F24">
            <v>-1569670</v>
          </cell>
          <cell r="G24">
            <v>-1272021</v>
          </cell>
          <cell r="H24">
            <v>-1022091</v>
          </cell>
          <cell r="I24">
            <v>-802991</v>
          </cell>
          <cell r="J24">
            <v>-646550</v>
          </cell>
          <cell r="K24">
            <v>-605106</v>
          </cell>
          <cell r="L24">
            <v>-684650</v>
          </cell>
          <cell r="M24">
            <v>-779194</v>
          </cell>
          <cell r="N24">
            <v>-954700</v>
          </cell>
          <cell r="O24">
            <v>-1216193</v>
          </cell>
          <cell r="P24">
            <v>-1991693</v>
          </cell>
          <cell r="T24">
            <v>21</v>
          </cell>
          <cell r="U24" t="str">
            <v>Less: ESNG to DE, MD and SP</v>
          </cell>
          <cell r="W24">
            <v>-13507979</v>
          </cell>
          <cell r="X24">
            <v>-2072751</v>
          </cell>
          <cell r="Y24">
            <v>-1675107</v>
          </cell>
          <cell r="Z24">
            <v>-1600554</v>
          </cell>
          <cell r="AA24">
            <v>-867157</v>
          </cell>
          <cell r="AB24">
            <v>-707317</v>
          </cell>
          <cell r="AC24">
            <v>-632394</v>
          </cell>
          <cell r="AD24">
            <v>-629544</v>
          </cell>
          <cell r="AE24">
            <v>-647150</v>
          </cell>
          <cell r="AF24">
            <v>-688242</v>
          </cell>
          <cell r="AG24">
            <v>-809060</v>
          </cell>
          <cell r="AH24">
            <v>-1439115</v>
          </cell>
          <cell r="AI24">
            <v>-1739588</v>
          </cell>
        </row>
        <row r="25">
          <cell r="A25">
            <v>22</v>
          </cell>
          <cell r="B25" t="str">
            <v>Total Deliveries</v>
          </cell>
          <cell r="D25">
            <v>45545870</v>
          </cell>
          <cell r="E25">
            <v>4585601</v>
          </cell>
          <cell r="F25">
            <v>4123170</v>
          </cell>
          <cell r="G25">
            <v>3814860</v>
          </cell>
          <cell r="H25">
            <v>4052053</v>
          </cell>
          <cell r="I25">
            <v>3613972</v>
          </cell>
          <cell r="J25">
            <v>3551228</v>
          </cell>
          <cell r="K25">
            <v>4115345</v>
          </cell>
          <cell r="L25">
            <v>4044130</v>
          </cell>
          <cell r="M25">
            <v>3245159</v>
          </cell>
          <cell r="N25">
            <v>2687767</v>
          </cell>
          <cell r="O25">
            <v>3656180</v>
          </cell>
          <cell r="P25">
            <v>4056405</v>
          </cell>
          <cell r="T25">
            <v>22</v>
          </cell>
          <cell r="U25" t="str">
            <v>Total Deliveries</v>
          </cell>
          <cell r="W25">
            <v>46343989</v>
          </cell>
          <cell r="X25">
            <v>3889405</v>
          </cell>
          <cell r="Y25">
            <v>3653565</v>
          </cell>
          <cell r="Z25">
            <v>4086483</v>
          </cell>
          <cell r="AA25">
            <v>3234723</v>
          </cell>
          <cell r="AB25">
            <v>3913541</v>
          </cell>
          <cell r="AC25">
            <v>4028410</v>
          </cell>
          <cell r="AD25">
            <v>4177792</v>
          </cell>
          <cell r="AE25">
            <v>4111810</v>
          </cell>
          <cell r="AF25">
            <v>3597465</v>
          </cell>
          <cell r="AG25">
            <v>3617595</v>
          </cell>
          <cell r="AH25">
            <v>4151105</v>
          </cell>
          <cell r="AI25">
            <v>3882095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62484135.265700482</v>
          </cell>
          <cell r="E29">
            <v>5706326.5700483099</v>
          </cell>
          <cell r="F29">
            <v>5496944.9275362324</v>
          </cell>
          <cell r="G29">
            <v>6079992.270531401</v>
          </cell>
          <cell r="H29">
            <v>4145289.8550724639</v>
          </cell>
          <cell r="I29">
            <v>4967494.6859903382</v>
          </cell>
          <cell r="J29">
            <v>5889018.6795491157</v>
          </cell>
          <cell r="K29">
            <v>5090762.9629629627</v>
          </cell>
          <cell r="L29">
            <v>4735795.1690821256</v>
          </cell>
          <cell r="M29">
            <v>4568509.1787439613</v>
          </cell>
          <cell r="N29">
            <v>5104967.1497584544</v>
          </cell>
          <cell r="O29">
            <v>5257545.8937198073</v>
          </cell>
          <cell r="P29">
            <v>5441487.9227053141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14441528.50241546</v>
          </cell>
          <cell r="E30">
            <v>2012004.8309178746</v>
          </cell>
          <cell r="F30">
            <v>1624791.3043478262</v>
          </cell>
          <cell r="G30">
            <v>1552699.5169082126</v>
          </cell>
          <cell r="H30">
            <v>922205.79710144934</v>
          </cell>
          <cell r="I30">
            <v>770832.85024154594</v>
          </cell>
          <cell r="J30">
            <v>867357.48792270536</v>
          </cell>
          <cell r="K30">
            <v>799530.43478260876</v>
          </cell>
          <cell r="L30">
            <v>755039.61352657015</v>
          </cell>
          <cell r="M30">
            <v>773510.14492753625</v>
          </cell>
          <cell r="N30">
            <v>1050284.0579710146</v>
          </cell>
          <cell r="O30">
            <v>1542680.1932367152</v>
          </cell>
          <cell r="P30">
            <v>1770592.270531401</v>
          </cell>
          <cell r="T30">
            <v>27</v>
          </cell>
        </row>
        <row r="31">
          <cell r="A31">
            <v>28</v>
          </cell>
          <cell r="D31">
            <v>76925663.768115938</v>
          </cell>
          <cell r="E31">
            <v>7718331.4009661842</v>
          </cell>
          <cell r="F31">
            <v>7121736.2318840586</v>
          </cell>
          <cell r="G31">
            <v>7632691.7874396136</v>
          </cell>
          <cell r="H31">
            <v>5067495.6521739131</v>
          </cell>
          <cell r="I31">
            <v>5738327.5362318838</v>
          </cell>
          <cell r="J31">
            <v>6756376.1674718214</v>
          </cell>
          <cell r="K31">
            <v>5890293.3977455711</v>
          </cell>
          <cell r="L31">
            <v>5490834.7826086953</v>
          </cell>
          <cell r="M31">
            <v>5342019.3236714974</v>
          </cell>
          <cell r="N31">
            <v>6155251.2077294691</v>
          </cell>
          <cell r="O31">
            <v>6800226.0869565224</v>
          </cell>
          <cell r="P31">
            <v>7212080.1932367152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C33">
            <v>1.0349999999999999</v>
          </cell>
          <cell r="E33">
            <v>5906048</v>
          </cell>
          <cell r="F33">
            <v>5689338</v>
          </cell>
          <cell r="G33">
            <v>6292792</v>
          </cell>
          <cell r="H33">
            <v>4290375</v>
          </cell>
          <cell r="I33">
            <v>5141357</v>
          </cell>
          <cell r="J33">
            <v>6095134.333333334</v>
          </cell>
          <cell r="K33">
            <v>5268939.666666666</v>
          </cell>
          <cell r="L33">
            <v>4901548</v>
          </cell>
          <cell r="M33">
            <v>4728407</v>
          </cell>
          <cell r="N33">
            <v>5283641</v>
          </cell>
          <cell r="O33">
            <v>5441560</v>
          </cell>
          <cell r="P33">
            <v>5631940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E34">
            <v>2082425</v>
          </cell>
          <cell r="F34">
            <v>1681659</v>
          </cell>
          <cell r="G34">
            <v>1607044</v>
          </cell>
          <cell r="H34">
            <v>954483</v>
          </cell>
          <cell r="I34">
            <v>797812</v>
          </cell>
          <cell r="J34">
            <v>897715</v>
          </cell>
          <cell r="K34">
            <v>827514</v>
          </cell>
          <cell r="L34">
            <v>781466</v>
          </cell>
          <cell r="M34">
            <v>800583</v>
          </cell>
          <cell r="N34">
            <v>1087044</v>
          </cell>
          <cell r="O34">
            <v>1596674</v>
          </cell>
          <cell r="P34">
            <v>1832563</v>
          </cell>
          <cell r="T34">
            <v>31</v>
          </cell>
        </row>
        <row r="35">
          <cell r="A35">
            <v>32</v>
          </cell>
          <cell r="D35">
            <v>0</v>
          </cell>
          <cell r="E35">
            <v>7988473</v>
          </cell>
          <cell r="F35">
            <v>7370997</v>
          </cell>
          <cell r="G35">
            <v>7899836</v>
          </cell>
          <cell r="H35">
            <v>5244858</v>
          </cell>
          <cell r="I35">
            <v>5939169</v>
          </cell>
          <cell r="J35">
            <v>6992849.333333334</v>
          </cell>
          <cell r="K35">
            <v>6096453.666666666</v>
          </cell>
          <cell r="L35">
            <v>5683014</v>
          </cell>
          <cell r="M35">
            <v>5528990</v>
          </cell>
          <cell r="N35">
            <v>6370685</v>
          </cell>
          <cell r="O35">
            <v>7038234</v>
          </cell>
          <cell r="P35">
            <v>7464503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- 2019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15</v>
          </cell>
          <cell r="F43">
            <v>15</v>
          </cell>
          <cell r="G43">
            <v>15</v>
          </cell>
          <cell r="H43">
            <v>15</v>
          </cell>
          <cell r="I43">
            <v>15</v>
          </cell>
          <cell r="J43">
            <v>15.166666666666666</v>
          </cell>
          <cell r="K43">
            <v>15.142857142857142</v>
          </cell>
          <cell r="L43">
            <v>15.125</v>
          </cell>
          <cell r="M43">
            <v>15.111111111111111</v>
          </cell>
          <cell r="N43">
            <v>15.2</v>
          </cell>
          <cell r="O43">
            <v>15.181818181818182</v>
          </cell>
          <cell r="P43">
            <v>15.25</v>
          </cell>
          <cell r="T43">
            <v>40</v>
          </cell>
          <cell r="U43" t="str">
            <v>Interruptible transporation</v>
          </cell>
          <cell r="X43">
            <v>17</v>
          </cell>
          <cell r="Y43">
            <v>17</v>
          </cell>
          <cell r="Z43">
            <v>17</v>
          </cell>
          <cell r="AA43">
            <v>17</v>
          </cell>
          <cell r="AB43">
            <v>16.600000000000001</v>
          </cell>
          <cell r="AC43">
            <v>16.333333333333332</v>
          </cell>
          <cell r="AD43">
            <v>16.142857142857142</v>
          </cell>
          <cell r="AE43">
            <v>16.125</v>
          </cell>
          <cell r="AF43">
            <v>15.888888888888889</v>
          </cell>
          <cell r="AG43">
            <v>15.8</v>
          </cell>
          <cell r="AH43">
            <v>15.818181818181818</v>
          </cell>
          <cell r="AI43">
            <v>15.666666666666666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-4</v>
          </cell>
          <cell r="M44">
            <v>-4</v>
          </cell>
          <cell r="N44">
            <v>-4</v>
          </cell>
          <cell r="O44">
            <v>-4</v>
          </cell>
          <cell r="P44">
            <v>-4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12</v>
          </cell>
          <cell r="F45">
            <v>12</v>
          </cell>
          <cell r="G45">
            <v>12</v>
          </cell>
          <cell r="H45">
            <v>12</v>
          </cell>
          <cell r="I45">
            <v>12</v>
          </cell>
          <cell r="J45">
            <v>12.166666666666666</v>
          </cell>
          <cell r="K45">
            <v>12.142857142857142</v>
          </cell>
          <cell r="L45">
            <v>11.125</v>
          </cell>
          <cell r="M45">
            <v>11.111111111111111</v>
          </cell>
          <cell r="N45">
            <v>11.2</v>
          </cell>
          <cell r="O45">
            <v>11.181818181818182</v>
          </cell>
          <cell r="P45">
            <v>11.25</v>
          </cell>
          <cell r="T45">
            <v>42</v>
          </cell>
          <cell r="U45" t="str">
            <v>Total customers</v>
          </cell>
          <cell r="X45">
            <v>14</v>
          </cell>
          <cell r="Y45">
            <v>14</v>
          </cell>
          <cell r="Z45">
            <v>14</v>
          </cell>
          <cell r="AA45">
            <v>14</v>
          </cell>
          <cell r="AB45">
            <v>13.600000000000001</v>
          </cell>
          <cell r="AC45">
            <v>13.333333333333332</v>
          </cell>
          <cell r="AD45">
            <v>13.142857142857142</v>
          </cell>
          <cell r="AE45">
            <v>13.125</v>
          </cell>
          <cell r="AF45">
            <v>12.888888888888889</v>
          </cell>
          <cell r="AG45">
            <v>12.8</v>
          </cell>
          <cell r="AH45">
            <v>12.818181818181818</v>
          </cell>
          <cell r="AI45">
            <v>12.666666666666666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- 2019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6111377.1692528548</v>
          </cell>
          <cell r="F51">
            <v>11576346.579920541</v>
          </cell>
          <cell r="G51">
            <v>16438933.803791933</v>
          </cell>
          <cell r="H51">
            <v>21313496.479130961</v>
          </cell>
          <cell r="I51">
            <v>25559322.699939087</v>
          </cell>
          <cell r="J51">
            <v>29601157.013012659</v>
          </cell>
          <cell r="K51">
            <v>34154158.395148575</v>
          </cell>
          <cell r="L51">
            <v>38719604.804026835</v>
          </cell>
          <cell r="M51">
            <v>42586900.752862342</v>
          </cell>
          <cell r="N51">
            <v>46100061.764820918</v>
          </cell>
          <cell r="O51">
            <v>50766897.098545559</v>
          </cell>
          <cell r="P51">
            <v>56396272.156289391</v>
          </cell>
          <cell r="T51">
            <v>48</v>
          </cell>
          <cell r="U51" t="str">
            <v>Transportation firm</v>
          </cell>
          <cell r="X51">
            <v>5683906.7201076737</v>
          </cell>
          <cell r="Y51">
            <v>10744021.48465818</v>
          </cell>
          <cell r="Z51">
            <v>16098607.905234449</v>
          </cell>
          <cell r="AA51">
            <v>20016552.340442333</v>
          </cell>
          <cell r="AB51">
            <v>24439785.273154765</v>
          </cell>
          <cell r="AC51">
            <v>28900135.230370238</v>
          </cell>
          <cell r="AD51">
            <v>33461119.871204268</v>
          </cell>
          <cell r="AE51">
            <v>37978562.710741624</v>
          </cell>
          <cell r="AF51">
            <v>42079725.341285937</v>
          </cell>
          <cell r="AG51">
            <v>46254418.105632655</v>
          </cell>
          <cell r="AH51">
            <v>51520254.743679859</v>
          </cell>
          <cell r="AI51">
            <v>56925329.472958371</v>
          </cell>
        </row>
        <row r="52">
          <cell r="A52">
            <v>49</v>
          </cell>
          <cell r="B52" t="str">
            <v>Interruptible transportation</v>
          </cell>
          <cell r="E52">
            <v>31978.752223761541</v>
          </cell>
          <cell r="F52">
            <v>50875.648208472179</v>
          </cell>
          <cell r="G52">
            <v>91022.724040231304</v>
          </cell>
          <cell r="H52">
            <v>101541.62166438144</v>
          </cell>
          <cell r="I52">
            <v>113074.27405876826</v>
          </cell>
          <cell r="J52">
            <v>122527.45643714842</v>
          </cell>
          <cell r="K52">
            <v>135169.79274012343</v>
          </cell>
          <cell r="L52">
            <v>144268.03635829323</v>
          </cell>
          <cell r="M52">
            <v>153176.55285768642</v>
          </cell>
          <cell r="N52">
            <v>162189.72595683133</v>
          </cell>
          <cell r="O52">
            <v>191404.7880214896</v>
          </cell>
          <cell r="P52">
            <v>382702.40743573615</v>
          </cell>
          <cell r="T52">
            <v>49</v>
          </cell>
          <cell r="U52" t="str">
            <v>Interruptible transporation</v>
          </cell>
          <cell r="X52">
            <v>23466.434880499619</v>
          </cell>
          <cell r="Y52">
            <v>72312.797074352959</v>
          </cell>
          <cell r="Z52">
            <v>173823.16762025648</v>
          </cell>
          <cell r="AA52">
            <v>197905.60086956382</v>
          </cell>
          <cell r="AB52">
            <v>221495.36814760318</v>
          </cell>
          <cell r="AC52">
            <v>247316.23910388787</v>
          </cell>
          <cell r="AD52">
            <v>309792.55598165892</v>
          </cell>
          <cell r="AE52">
            <v>345820.67885273311</v>
          </cell>
          <cell r="AF52">
            <v>372479.98697631428</v>
          </cell>
          <cell r="AG52">
            <v>454853.47435943299</v>
          </cell>
          <cell r="AH52">
            <v>569816.12788424722</v>
          </cell>
          <cell r="AI52">
            <v>597710.22637323232</v>
          </cell>
        </row>
        <row r="53">
          <cell r="A53">
            <v>50</v>
          </cell>
          <cell r="B53" t="str">
            <v>Less: ESNG to DE, MD &amp; SP</v>
          </cell>
          <cell r="E53">
            <v>-1719371.9055465725</v>
          </cell>
          <cell r="F53">
            <v>-3231422.2047931822</v>
          </cell>
          <cell r="G53">
            <v>-4457395.6424738951</v>
          </cell>
          <cell r="H53">
            <v>-5441403.5677498644</v>
          </cell>
          <cell r="I53">
            <v>-6215379.0026701381</v>
          </cell>
          <cell r="J53">
            <v>-6839366.247870923</v>
          </cell>
          <cell r="K53">
            <v>-7424627.7849337347</v>
          </cell>
          <cell r="L53">
            <v>-8086947.0292909853</v>
          </cell>
          <cell r="M53">
            <v>-8837456.5552103482</v>
          </cell>
          <cell r="N53">
            <v>-9760627.4980012123</v>
          </cell>
          <cell r="O53">
            <v>-10932808.613651877</v>
          </cell>
          <cell r="P53">
            <v>-12849608.41193342</v>
          </cell>
          <cell r="T53">
            <v>50</v>
          </cell>
          <cell r="U53" t="str">
            <v>Less: ESNG to DE, MD &amp; SP</v>
          </cell>
          <cell r="X53">
            <v>-1984175.4248588751</v>
          </cell>
          <cell r="Y53">
            <v>-3590214.7055909904</v>
          </cell>
          <cell r="Z53">
            <v>-5125773.1243981402</v>
          </cell>
          <cell r="AA53">
            <v>-5959136.4098113496</v>
          </cell>
          <cell r="AB53">
            <v>-6639813.74109683</v>
          </cell>
          <cell r="AC53">
            <v>-7248512.908603305</v>
          </cell>
          <cell r="AD53">
            <v>-7853977.5786745707</v>
          </cell>
          <cell r="AE53">
            <v>-8473184.0299417842</v>
          </cell>
          <cell r="AF53">
            <v>-9136071.2564163581</v>
          </cell>
          <cell r="AG53">
            <v>-9914135.5107177533</v>
          </cell>
          <cell r="AH53">
            <v>-11299338.413732423</v>
          </cell>
          <cell r="AI53">
            <v>-12980530.216464523</v>
          </cell>
        </row>
        <row r="54">
          <cell r="A54">
            <v>51</v>
          </cell>
          <cell r="B54" t="str">
            <v>Total Deliveries</v>
          </cell>
          <cell r="E54">
            <v>4423984.0159300435</v>
          </cell>
          <cell r="F54">
            <v>8395800.0233358331</v>
          </cell>
          <cell r="G54">
            <v>12072560.885358268</v>
          </cell>
          <cell r="H54">
            <v>15973634.533045478</v>
          </cell>
          <cell r="I54">
            <v>19457017.971327715</v>
          </cell>
          <cell r="J54">
            <v>22884318.221578885</v>
          </cell>
          <cell r="K54">
            <v>26864700.402954962</v>
          </cell>
          <cell r="L54">
            <v>30776925.811094146</v>
          </cell>
          <cell r="M54">
            <v>33902620.750509679</v>
          </cell>
          <cell r="N54">
            <v>36501623.992776543</v>
          </cell>
          <cell r="O54">
            <v>40025493.27291517</v>
          </cell>
          <cell r="P54">
            <v>43929366.151791707</v>
          </cell>
          <cell r="T54">
            <v>51</v>
          </cell>
          <cell r="U54" t="str">
            <v>Total Deliveries</v>
          </cell>
          <cell r="X54">
            <v>3723197.7301292983</v>
          </cell>
          <cell r="Y54">
            <v>7226119.5761415428</v>
          </cell>
          <cell r="Z54">
            <v>11146657.948456565</v>
          </cell>
          <cell r="AA54">
            <v>14255321.531500546</v>
          </cell>
          <cell r="AB54">
            <v>18021466.900205538</v>
          </cell>
          <cell r="AC54">
            <v>21898938.560870819</v>
          </cell>
          <cell r="AD54">
            <v>25916934.848511361</v>
          </cell>
          <cell r="AE54">
            <v>29851199.359652571</v>
          </cell>
          <cell r="AF54">
            <v>33316134.071845889</v>
          </cell>
          <cell r="AG54">
            <v>36795136.069274336</v>
          </cell>
          <cell r="AH54">
            <v>40790732.457831681</v>
          </cell>
          <cell r="AI54">
            <v>44542509.482867077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6334638</v>
          </cell>
          <cell r="F58">
            <v>12007861</v>
          </cell>
          <cell r="G58">
            <v>17053087</v>
          </cell>
          <cell r="H58">
            <v>22116305</v>
          </cell>
          <cell r="I58">
            <v>26521303</v>
          </cell>
          <cell r="J58">
            <v>30709286</v>
          </cell>
          <cell r="K58">
            <v>35416666</v>
          </cell>
          <cell r="L58">
            <v>40136041</v>
          </cell>
          <cell r="M58">
            <v>44151145</v>
          </cell>
          <cell r="N58">
            <v>47784291</v>
          </cell>
          <cell r="O58">
            <v>52626352</v>
          </cell>
          <cell r="P58">
            <v>58475678</v>
          </cell>
          <cell r="T58">
            <v>55</v>
          </cell>
          <cell r="U58" t="str">
            <v>Transportation firm</v>
          </cell>
          <cell r="X58">
            <v>5937642</v>
          </cell>
          <cell r="Y58">
            <v>11215367</v>
          </cell>
          <cell r="Z58">
            <v>16796597</v>
          </cell>
          <cell r="AA58">
            <v>20873418</v>
          </cell>
          <cell r="AB58">
            <v>25469763</v>
          </cell>
          <cell r="AC58">
            <v>30103741</v>
          </cell>
          <cell r="AD58">
            <v>34846116</v>
          </cell>
          <cell r="AE58">
            <v>39567422</v>
          </cell>
          <cell r="AF58">
            <v>43825450</v>
          </cell>
          <cell r="AG58">
            <v>48166450</v>
          </cell>
          <cell r="AH58">
            <v>53637233</v>
          </cell>
          <cell r="AI58">
            <v>59230053</v>
          </cell>
        </row>
        <row r="59">
          <cell r="A59">
            <v>56</v>
          </cell>
          <cell r="B59" t="str">
            <v>Interruptible transportation</v>
          </cell>
          <cell r="E59">
            <v>33147</v>
          </cell>
          <cell r="F59">
            <v>52764</v>
          </cell>
          <cell r="G59">
            <v>94419</v>
          </cell>
          <cell r="H59">
            <v>105345</v>
          </cell>
          <cell r="I59">
            <v>117310</v>
          </cell>
          <cell r="J59">
            <v>127105</v>
          </cell>
          <cell r="K59">
            <v>140176</v>
          </cell>
          <cell r="L59">
            <v>149581</v>
          </cell>
          <cell r="M59">
            <v>158830</v>
          </cell>
          <cell r="N59">
            <v>168151</v>
          </cell>
          <cell r="O59">
            <v>198463</v>
          </cell>
          <cell r="P59">
            <v>397235</v>
          </cell>
        </row>
        <row r="60">
          <cell r="A60">
            <v>57</v>
          </cell>
          <cell r="B60" t="str">
            <v>Less: ESNG to DE, MD &amp; SP</v>
          </cell>
          <cell r="E60">
            <v>-1782184</v>
          </cell>
          <cell r="F60">
            <v>-3351854</v>
          </cell>
          <cell r="G60">
            <v>-4623875</v>
          </cell>
          <cell r="H60">
            <v>-5645966</v>
          </cell>
          <cell r="I60">
            <v>-6448957</v>
          </cell>
          <cell r="J60">
            <v>-7095507</v>
          </cell>
          <cell r="K60">
            <v>-7700613</v>
          </cell>
          <cell r="L60">
            <v>-8385263</v>
          </cell>
          <cell r="M60">
            <v>-9164457</v>
          </cell>
          <cell r="N60">
            <v>-10119157</v>
          </cell>
          <cell r="O60">
            <v>-11335350</v>
          </cell>
          <cell r="P60">
            <v>-13327043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4585601</v>
          </cell>
          <cell r="F61">
            <v>8708771</v>
          </cell>
          <cell r="G61">
            <v>12523631</v>
          </cell>
          <cell r="H61">
            <v>16575684</v>
          </cell>
          <cell r="I61">
            <v>20189656</v>
          </cell>
          <cell r="J61">
            <v>23740884</v>
          </cell>
          <cell r="K61">
            <v>27856229</v>
          </cell>
          <cell r="L61">
            <v>31900359</v>
          </cell>
          <cell r="M61">
            <v>35145518</v>
          </cell>
          <cell r="N61">
            <v>37833285</v>
          </cell>
          <cell r="O61">
            <v>41489465</v>
          </cell>
          <cell r="P61">
            <v>45545870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5706326.5700483099</v>
          </cell>
          <cell r="F66">
            <v>11203271.497584542</v>
          </cell>
          <cell r="G66">
            <v>17283263.768115945</v>
          </cell>
          <cell r="H66">
            <v>21428553.62318841</v>
          </cell>
          <cell r="I66">
            <v>26396048.309178747</v>
          </cell>
          <cell r="J66">
            <v>32285066.988727864</v>
          </cell>
          <cell r="K66">
            <v>37375829.951690823</v>
          </cell>
          <cell r="L66">
            <v>42111625.12077295</v>
          </cell>
          <cell r="M66">
            <v>46680134.299516909</v>
          </cell>
          <cell r="N66">
            <v>51785101.44927536</v>
          </cell>
          <cell r="O66">
            <v>57042647.342995167</v>
          </cell>
          <cell r="P66">
            <v>62484135.265700482</v>
          </cell>
        </row>
        <row r="67">
          <cell r="A67">
            <v>64</v>
          </cell>
          <cell r="B67" t="str">
            <v>Less Sales to DE/MD/SP</v>
          </cell>
          <cell r="E67">
            <v>2012004.8309178746</v>
          </cell>
          <cell r="F67">
            <v>3636796.1352657005</v>
          </cell>
          <cell r="G67">
            <v>5189495.6521739131</v>
          </cell>
          <cell r="H67">
            <v>6111701.4492753623</v>
          </cell>
          <cell r="I67">
            <v>6882534.2995169079</v>
          </cell>
          <cell r="J67">
            <v>7749891.7874396136</v>
          </cell>
          <cell r="K67">
            <v>8549422.222222222</v>
          </cell>
          <cell r="L67">
            <v>9304461.8357487917</v>
          </cell>
          <cell r="M67">
            <v>10077971.980676329</v>
          </cell>
          <cell r="N67">
            <v>11128256.038647342</v>
          </cell>
          <cell r="O67">
            <v>12670936.231884059</v>
          </cell>
          <cell r="P67">
            <v>14441528.50241546</v>
          </cell>
        </row>
        <row r="68">
          <cell r="A68">
            <v>65</v>
          </cell>
          <cell r="E68">
            <v>7718331.4009661842</v>
          </cell>
          <cell r="F68">
            <v>14840067.632850243</v>
          </cell>
          <cell r="G68">
            <v>22472759.420289859</v>
          </cell>
          <cell r="H68">
            <v>27540255.072463773</v>
          </cell>
          <cell r="I68">
            <v>33278582.608695656</v>
          </cell>
          <cell r="J68">
            <v>40034958.776167475</v>
          </cell>
          <cell r="K68">
            <v>45925252.173913047</v>
          </cell>
          <cell r="L68">
            <v>51416086.956521742</v>
          </cell>
          <cell r="M68">
            <v>56758106.280193239</v>
          </cell>
          <cell r="N68">
            <v>62913357.487922698</v>
          </cell>
          <cell r="O68">
            <v>69713583.574879229</v>
          </cell>
          <cell r="P68">
            <v>76925663.768115938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5906048</v>
          </cell>
          <cell r="F70">
            <v>11595386</v>
          </cell>
          <cell r="G70">
            <v>17888178</v>
          </cell>
          <cell r="H70">
            <v>22178553</v>
          </cell>
          <cell r="I70">
            <v>27319910</v>
          </cell>
          <cell r="J70">
            <v>33415044.333333336</v>
          </cell>
          <cell r="K70">
            <v>38683984</v>
          </cell>
          <cell r="L70">
            <v>43585532</v>
          </cell>
          <cell r="M70">
            <v>48313939</v>
          </cell>
          <cell r="N70">
            <v>53597580</v>
          </cell>
          <cell r="O70">
            <v>59039140</v>
          </cell>
          <cell r="P70">
            <v>64671080</v>
          </cell>
        </row>
        <row r="71">
          <cell r="A71">
            <v>68</v>
          </cell>
          <cell r="B71" t="str">
            <v>Less Sales to DE/MD/SP</v>
          </cell>
          <cell r="E71">
            <v>2082425</v>
          </cell>
          <cell r="F71">
            <v>3764084</v>
          </cell>
          <cell r="G71">
            <v>5371128</v>
          </cell>
          <cell r="H71">
            <v>6325611</v>
          </cell>
          <cell r="I71">
            <v>7123423</v>
          </cell>
          <cell r="J71">
            <v>8021138</v>
          </cell>
          <cell r="K71">
            <v>8848652</v>
          </cell>
          <cell r="L71">
            <v>9630118</v>
          </cell>
          <cell r="M71">
            <v>10430701</v>
          </cell>
          <cell r="N71">
            <v>11517745</v>
          </cell>
          <cell r="O71">
            <v>13114419</v>
          </cell>
          <cell r="P71">
            <v>14946982</v>
          </cell>
        </row>
        <row r="72">
          <cell r="E72">
            <v>7988473</v>
          </cell>
          <cell r="F72">
            <v>15359470</v>
          </cell>
          <cell r="G72">
            <v>23259306</v>
          </cell>
          <cell r="H72">
            <v>28504164</v>
          </cell>
          <cell r="I72">
            <v>34443333</v>
          </cell>
          <cell r="J72">
            <v>41436182.333333336</v>
          </cell>
          <cell r="K72">
            <v>47532636</v>
          </cell>
          <cell r="L72">
            <v>53215650</v>
          </cell>
          <cell r="M72">
            <v>58744640</v>
          </cell>
          <cell r="N72">
            <v>65115325</v>
          </cell>
          <cell r="O72">
            <v>72153559</v>
          </cell>
          <cell r="P72">
            <v>79618062</v>
          </cell>
        </row>
      </sheetData>
      <sheetData sheetId="18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25044</v>
          </cell>
          <cell r="D5">
            <v>300532</v>
          </cell>
          <cell r="E5">
            <v>24863</v>
          </cell>
          <cell r="F5">
            <v>24848</v>
          </cell>
          <cell r="G5">
            <v>24969</v>
          </cell>
          <cell r="H5">
            <v>24895</v>
          </cell>
          <cell r="I5">
            <v>24912</v>
          </cell>
          <cell r="J5">
            <v>25048</v>
          </cell>
          <cell r="K5">
            <v>25117</v>
          </cell>
          <cell r="L5">
            <v>25093</v>
          </cell>
          <cell r="M5">
            <v>25101</v>
          </cell>
          <cell r="N5">
            <v>25206</v>
          </cell>
          <cell r="O5">
            <v>25250</v>
          </cell>
          <cell r="P5">
            <v>25230</v>
          </cell>
          <cell r="T5">
            <v>2</v>
          </cell>
          <cell r="U5" t="str">
            <v>Residential</v>
          </cell>
          <cell r="W5">
            <v>294876</v>
          </cell>
          <cell r="X5">
            <v>24530</v>
          </cell>
          <cell r="Y5">
            <v>24291</v>
          </cell>
          <cell r="Z5">
            <v>24316</v>
          </cell>
          <cell r="AA5">
            <v>24504</v>
          </cell>
          <cell r="AB5">
            <v>24515</v>
          </cell>
          <cell r="AC5">
            <v>24571</v>
          </cell>
          <cell r="AD5">
            <v>24575</v>
          </cell>
          <cell r="AE5">
            <v>24590</v>
          </cell>
          <cell r="AF5">
            <v>24706</v>
          </cell>
          <cell r="AG5">
            <v>24726</v>
          </cell>
          <cell r="AH5">
            <v>24801</v>
          </cell>
          <cell r="AI5">
            <v>24751</v>
          </cell>
        </row>
        <row r="6">
          <cell r="A6">
            <v>3</v>
          </cell>
          <cell r="B6" t="str">
            <v>Commercial</v>
          </cell>
          <cell r="C6">
            <v>7280</v>
          </cell>
          <cell r="D6">
            <v>87361</v>
          </cell>
          <cell r="E6">
            <v>7282</v>
          </cell>
          <cell r="F6">
            <v>7252</v>
          </cell>
          <cell r="G6">
            <v>7247</v>
          </cell>
          <cell r="H6">
            <v>7267</v>
          </cell>
          <cell r="I6">
            <v>7254</v>
          </cell>
          <cell r="J6">
            <v>7267</v>
          </cell>
          <cell r="K6">
            <v>7280</v>
          </cell>
          <cell r="L6">
            <v>7272</v>
          </cell>
          <cell r="M6">
            <v>7295</v>
          </cell>
          <cell r="N6">
            <v>7315</v>
          </cell>
          <cell r="O6">
            <v>7307</v>
          </cell>
          <cell r="P6">
            <v>7323</v>
          </cell>
          <cell r="T6">
            <v>3</v>
          </cell>
          <cell r="U6" t="str">
            <v>Commercial</v>
          </cell>
          <cell r="W6">
            <v>86912</v>
          </cell>
          <cell r="X6">
            <v>7353</v>
          </cell>
          <cell r="Y6">
            <v>7174</v>
          </cell>
          <cell r="Z6">
            <v>7168</v>
          </cell>
          <cell r="AA6">
            <v>7213</v>
          </cell>
          <cell r="AB6">
            <v>7224</v>
          </cell>
          <cell r="AC6">
            <v>7248</v>
          </cell>
          <cell r="AD6">
            <v>7238</v>
          </cell>
          <cell r="AE6">
            <v>7233</v>
          </cell>
          <cell r="AF6">
            <v>7249</v>
          </cell>
          <cell r="AG6">
            <v>7254</v>
          </cell>
          <cell r="AH6">
            <v>7285</v>
          </cell>
          <cell r="AI6">
            <v>7273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24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W7">
            <v>24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32326</v>
          </cell>
          <cell r="D9">
            <v>387917</v>
          </cell>
          <cell r="E9">
            <v>32147</v>
          </cell>
          <cell r="F9">
            <v>32102</v>
          </cell>
          <cell r="G9">
            <v>32218</v>
          </cell>
          <cell r="H9">
            <v>32164</v>
          </cell>
          <cell r="I9">
            <v>32168</v>
          </cell>
          <cell r="J9">
            <v>32317</v>
          </cell>
          <cell r="K9">
            <v>32399</v>
          </cell>
          <cell r="L9">
            <v>32367</v>
          </cell>
          <cell r="M9">
            <v>32398</v>
          </cell>
          <cell r="N9">
            <v>32523</v>
          </cell>
          <cell r="O9">
            <v>32559</v>
          </cell>
          <cell r="P9">
            <v>32555</v>
          </cell>
          <cell r="T9">
            <v>6</v>
          </cell>
          <cell r="U9" t="str">
            <v>Total customers</v>
          </cell>
          <cell r="W9">
            <v>381812</v>
          </cell>
          <cell r="X9">
            <v>31885</v>
          </cell>
          <cell r="Y9">
            <v>31467</v>
          </cell>
          <cell r="Z9">
            <v>31486</v>
          </cell>
          <cell r="AA9">
            <v>31719</v>
          </cell>
          <cell r="AB9">
            <v>31741</v>
          </cell>
          <cell r="AC9">
            <v>31821</v>
          </cell>
          <cell r="AD9">
            <v>31815</v>
          </cell>
          <cell r="AE9">
            <v>31825</v>
          </cell>
          <cell r="AF9">
            <v>31957</v>
          </cell>
          <cell r="AG9">
            <v>31982</v>
          </cell>
          <cell r="AH9">
            <v>32088</v>
          </cell>
          <cell r="AI9">
            <v>32026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- 2019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305020</v>
          </cell>
          <cell r="E12">
            <v>22867</v>
          </cell>
          <cell r="F12">
            <v>22271</v>
          </cell>
          <cell r="G12">
            <v>19809</v>
          </cell>
          <cell r="H12">
            <v>20795</v>
          </cell>
          <cell r="I12">
            <v>21452</v>
          </cell>
          <cell r="J12">
            <v>26534</v>
          </cell>
          <cell r="K12">
            <v>35084</v>
          </cell>
          <cell r="L12">
            <v>35327</v>
          </cell>
          <cell r="M12">
            <v>31144</v>
          </cell>
          <cell r="N12">
            <v>24072</v>
          </cell>
          <cell r="O12">
            <v>22265</v>
          </cell>
          <cell r="P12">
            <v>23400</v>
          </cell>
          <cell r="T12">
            <v>9</v>
          </cell>
          <cell r="U12" t="str">
            <v>Residential</v>
          </cell>
          <cell r="W12">
            <v>306445.42599999998</v>
          </cell>
          <cell r="X12">
            <v>24079</v>
          </cell>
          <cell r="Y12">
            <v>23688</v>
          </cell>
          <cell r="Z12">
            <v>17744</v>
          </cell>
          <cell r="AA12">
            <v>18080</v>
          </cell>
          <cell r="AB12">
            <v>22585</v>
          </cell>
          <cell r="AC12">
            <v>31693.062000000002</v>
          </cell>
          <cell r="AD12">
            <v>32053.364000000001</v>
          </cell>
          <cell r="AE12">
            <v>32423</v>
          </cell>
          <cell r="AF12">
            <v>33061</v>
          </cell>
          <cell r="AG12">
            <v>27851</v>
          </cell>
          <cell r="AH12">
            <v>21369</v>
          </cell>
          <cell r="AI12">
            <v>21819</v>
          </cell>
        </row>
        <row r="13">
          <cell r="A13">
            <v>10</v>
          </cell>
          <cell r="B13" t="str">
            <v>Commercial</v>
          </cell>
          <cell r="D13">
            <v>293262</v>
          </cell>
          <cell r="E13">
            <v>22653</v>
          </cell>
          <cell r="F13">
            <v>21381</v>
          </cell>
          <cell r="G13">
            <v>20645</v>
          </cell>
          <cell r="H13">
            <v>21357</v>
          </cell>
          <cell r="I13">
            <v>21461</v>
          </cell>
          <cell r="J13">
            <v>24491</v>
          </cell>
          <cell r="K13">
            <v>30270</v>
          </cell>
          <cell r="L13">
            <v>29923</v>
          </cell>
          <cell r="M13">
            <v>28057</v>
          </cell>
          <cell r="N13">
            <v>25495</v>
          </cell>
          <cell r="O13">
            <v>24876</v>
          </cell>
          <cell r="P13">
            <v>22653</v>
          </cell>
          <cell r="T13">
            <v>10</v>
          </cell>
          <cell r="U13" t="str">
            <v>Commercial</v>
          </cell>
          <cell r="W13">
            <v>310856.15399999998</v>
          </cell>
          <cell r="X13">
            <v>23237</v>
          </cell>
          <cell r="Y13">
            <v>20995</v>
          </cell>
          <cell r="Z13">
            <v>17597</v>
          </cell>
          <cell r="AA13">
            <v>24172</v>
          </cell>
          <cell r="AB13">
            <v>25571</v>
          </cell>
          <cell r="AC13">
            <v>29797.349000000002</v>
          </cell>
          <cell r="AD13">
            <v>29177.805</v>
          </cell>
          <cell r="AE13">
            <v>31173</v>
          </cell>
          <cell r="AF13">
            <v>32220</v>
          </cell>
          <cell r="AG13">
            <v>27781</v>
          </cell>
          <cell r="AH13">
            <v>26737</v>
          </cell>
          <cell r="AI13">
            <v>22398</v>
          </cell>
        </row>
        <row r="14">
          <cell r="A14">
            <v>11</v>
          </cell>
          <cell r="B14" t="str">
            <v xml:space="preserve">Industrial </v>
          </cell>
          <cell r="D14">
            <v>14806</v>
          </cell>
          <cell r="E14">
            <v>4880</v>
          </cell>
          <cell r="F14">
            <v>6650</v>
          </cell>
          <cell r="G14">
            <v>82</v>
          </cell>
          <cell r="H14">
            <v>272</v>
          </cell>
          <cell r="I14">
            <v>124</v>
          </cell>
          <cell r="J14">
            <v>374</v>
          </cell>
          <cell r="K14">
            <v>710</v>
          </cell>
          <cell r="L14">
            <v>368</v>
          </cell>
          <cell r="M14">
            <v>518</v>
          </cell>
          <cell r="N14">
            <v>0</v>
          </cell>
          <cell r="O14">
            <v>268</v>
          </cell>
          <cell r="P14">
            <v>560</v>
          </cell>
          <cell r="T14">
            <v>11</v>
          </cell>
          <cell r="U14" t="str">
            <v xml:space="preserve">Industrial </v>
          </cell>
          <cell r="W14">
            <v>27928.576000000001</v>
          </cell>
          <cell r="X14">
            <v>2100</v>
          </cell>
          <cell r="Y14">
            <v>3750</v>
          </cell>
          <cell r="Z14">
            <v>1900</v>
          </cell>
          <cell r="AA14">
            <v>1210</v>
          </cell>
          <cell r="AB14">
            <v>490</v>
          </cell>
          <cell r="AC14">
            <v>1472.576</v>
          </cell>
          <cell r="AD14">
            <v>1840</v>
          </cell>
          <cell r="AE14">
            <v>2920</v>
          </cell>
          <cell r="AF14">
            <v>2700</v>
          </cell>
          <cell r="AG14">
            <v>3765</v>
          </cell>
          <cell r="AH14">
            <v>5112</v>
          </cell>
          <cell r="AI14">
            <v>669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>Other</v>
          </cell>
          <cell r="W15">
            <v>0</v>
          </cell>
        </row>
        <row r="16">
          <cell r="A16">
            <v>13</v>
          </cell>
          <cell r="B16" t="str">
            <v>Total Deliveries</v>
          </cell>
          <cell r="D16">
            <v>613088</v>
          </cell>
          <cell r="E16">
            <v>50400</v>
          </cell>
          <cell r="F16">
            <v>50302</v>
          </cell>
          <cell r="G16">
            <v>40536</v>
          </cell>
          <cell r="H16">
            <v>42424</v>
          </cell>
          <cell r="I16">
            <v>43037</v>
          </cell>
          <cell r="J16">
            <v>51399</v>
          </cell>
          <cell r="K16">
            <v>66064</v>
          </cell>
          <cell r="L16">
            <v>65618</v>
          </cell>
          <cell r="M16">
            <v>59719</v>
          </cell>
          <cell r="N16">
            <v>49567</v>
          </cell>
          <cell r="O16">
            <v>47409</v>
          </cell>
          <cell r="P16">
            <v>46613</v>
          </cell>
          <cell r="T16">
            <v>13</v>
          </cell>
          <cell r="U16" t="str">
            <v>Total Deliveries</v>
          </cell>
          <cell r="W16">
            <v>645230.15599999996</v>
          </cell>
          <cell r="X16">
            <v>49416</v>
          </cell>
          <cell r="Y16">
            <v>48433</v>
          </cell>
          <cell r="Z16">
            <v>37241</v>
          </cell>
          <cell r="AA16">
            <v>43462</v>
          </cell>
          <cell r="AB16">
            <v>48646</v>
          </cell>
          <cell r="AC16">
            <v>62962.987000000008</v>
          </cell>
          <cell r="AD16">
            <v>63071.169000000002</v>
          </cell>
          <cell r="AE16">
            <v>66516</v>
          </cell>
          <cell r="AF16">
            <v>67981</v>
          </cell>
          <cell r="AG16">
            <v>59397</v>
          </cell>
          <cell r="AH16">
            <v>53218</v>
          </cell>
          <cell r="AI16">
            <v>44886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B19" t="str">
            <v>BUDGET</v>
          </cell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 xml:space="preserve">Customers </v>
          </cell>
          <cell r="E20">
            <v>31510</v>
          </cell>
          <cell r="F20">
            <v>31549</v>
          </cell>
          <cell r="G20">
            <v>31580</v>
          </cell>
          <cell r="H20">
            <v>31600</v>
          </cell>
          <cell r="I20">
            <v>31630.597222222223</v>
          </cell>
          <cell r="J20">
            <v>31655.597222222223</v>
          </cell>
          <cell r="K20">
            <v>31649</v>
          </cell>
          <cell r="L20">
            <v>31667</v>
          </cell>
          <cell r="M20">
            <v>31690</v>
          </cell>
          <cell r="N20">
            <v>31680.597222222223</v>
          </cell>
          <cell r="O20">
            <v>31707.597222222223</v>
          </cell>
          <cell r="P20">
            <v>31713</v>
          </cell>
          <cell r="T20">
            <v>17</v>
          </cell>
        </row>
        <row r="21">
          <cell r="A21">
            <v>18</v>
          </cell>
          <cell r="B21" t="str">
            <v>Volume (KWH)</v>
          </cell>
          <cell r="E21">
            <v>43146</v>
          </cell>
          <cell r="F21">
            <v>43947</v>
          </cell>
          <cell r="G21">
            <v>42820</v>
          </cell>
          <cell r="H21">
            <v>43671</v>
          </cell>
          <cell r="I21">
            <v>48567</v>
          </cell>
          <cell r="J21">
            <v>55674</v>
          </cell>
          <cell r="K21">
            <v>56146</v>
          </cell>
          <cell r="L21">
            <v>56076</v>
          </cell>
          <cell r="M21">
            <v>55855</v>
          </cell>
          <cell r="N21">
            <v>54639</v>
          </cell>
          <cell r="O21">
            <v>46601</v>
          </cell>
          <cell r="P21">
            <v>44702</v>
          </cell>
          <cell r="T21">
            <v>18</v>
          </cell>
        </row>
        <row r="22">
          <cell r="A22">
            <v>19</v>
          </cell>
          <cell r="T22">
            <v>19</v>
          </cell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</row>
        <row r="24">
          <cell r="A24">
            <v>21</v>
          </cell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W26" t="str">
            <v>Total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24942</v>
          </cell>
          <cell r="D27">
            <v>299303</v>
          </cell>
          <cell r="E27">
            <v>24863</v>
          </cell>
          <cell r="F27">
            <v>24856</v>
          </cell>
          <cell r="G27">
            <v>24893</v>
          </cell>
          <cell r="H27">
            <v>24894</v>
          </cell>
          <cell r="I27">
            <v>24897</v>
          </cell>
          <cell r="J27">
            <v>24923</v>
          </cell>
          <cell r="K27">
            <v>24950</v>
          </cell>
          <cell r="L27">
            <v>24968</v>
          </cell>
          <cell r="M27">
            <v>24983</v>
          </cell>
          <cell r="N27">
            <v>25005</v>
          </cell>
          <cell r="O27">
            <v>25027</v>
          </cell>
          <cell r="P27">
            <v>25044</v>
          </cell>
          <cell r="T27">
            <v>24</v>
          </cell>
          <cell r="U27" t="str">
            <v>Residential</v>
          </cell>
          <cell r="W27">
            <v>293748</v>
          </cell>
          <cell r="X27">
            <v>24530</v>
          </cell>
          <cell r="Y27">
            <v>24411</v>
          </cell>
          <cell r="Z27">
            <v>24379</v>
          </cell>
          <cell r="AA27">
            <v>24410</v>
          </cell>
          <cell r="AB27">
            <v>24431</v>
          </cell>
          <cell r="AC27">
            <v>24455</v>
          </cell>
          <cell r="AD27">
            <v>24472</v>
          </cell>
          <cell r="AE27">
            <v>24487</v>
          </cell>
          <cell r="AF27">
            <v>24511</v>
          </cell>
          <cell r="AG27">
            <v>24532</v>
          </cell>
          <cell r="AH27">
            <v>24557</v>
          </cell>
          <cell r="AI27">
            <v>24573</v>
          </cell>
        </row>
        <row r="28">
          <cell r="A28">
            <v>25</v>
          </cell>
          <cell r="B28" t="str">
            <v>Commercial</v>
          </cell>
          <cell r="C28">
            <v>7268</v>
          </cell>
          <cell r="D28">
            <v>87219</v>
          </cell>
          <cell r="E28">
            <v>7282</v>
          </cell>
          <cell r="F28">
            <v>7267</v>
          </cell>
          <cell r="G28">
            <v>7260</v>
          </cell>
          <cell r="H28">
            <v>7262</v>
          </cell>
          <cell r="I28">
            <v>7260</v>
          </cell>
          <cell r="J28">
            <v>7262</v>
          </cell>
          <cell r="K28">
            <v>7264</v>
          </cell>
          <cell r="L28">
            <v>7265</v>
          </cell>
          <cell r="M28">
            <v>7268</v>
          </cell>
          <cell r="N28">
            <v>7273</v>
          </cell>
          <cell r="O28">
            <v>7276</v>
          </cell>
          <cell r="P28">
            <v>7280</v>
          </cell>
          <cell r="T28">
            <v>25</v>
          </cell>
          <cell r="U28" t="str">
            <v>Commercial</v>
          </cell>
          <cell r="W28">
            <v>86945</v>
          </cell>
          <cell r="X28">
            <v>7353</v>
          </cell>
          <cell r="Y28">
            <v>7264</v>
          </cell>
          <cell r="Z28">
            <v>7232</v>
          </cell>
          <cell r="AA28">
            <v>7227</v>
          </cell>
          <cell r="AB28">
            <v>7226</v>
          </cell>
          <cell r="AC28">
            <v>7230</v>
          </cell>
          <cell r="AD28">
            <v>7231</v>
          </cell>
          <cell r="AE28">
            <v>7231</v>
          </cell>
          <cell r="AF28">
            <v>7233</v>
          </cell>
          <cell r="AG28">
            <v>7235</v>
          </cell>
          <cell r="AH28">
            <v>7240</v>
          </cell>
          <cell r="AI28">
            <v>7243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W29">
            <v>24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28</v>
          </cell>
          <cell r="B31" t="str">
            <v>Total customers</v>
          </cell>
          <cell r="C31">
            <v>32212</v>
          </cell>
          <cell r="D31">
            <v>386546</v>
          </cell>
          <cell r="E31">
            <v>32147</v>
          </cell>
          <cell r="F31">
            <v>32125</v>
          </cell>
          <cell r="G31">
            <v>32155</v>
          </cell>
          <cell r="H31">
            <v>32158</v>
          </cell>
          <cell r="I31">
            <v>32159</v>
          </cell>
          <cell r="J31">
            <v>32187</v>
          </cell>
          <cell r="K31">
            <v>32216</v>
          </cell>
          <cell r="L31">
            <v>32235</v>
          </cell>
          <cell r="M31">
            <v>32253</v>
          </cell>
          <cell r="N31">
            <v>32280</v>
          </cell>
          <cell r="O31">
            <v>32305</v>
          </cell>
          <cell r="P31">
            <v>32326</v>
          </cell>
          <cell r="T31">
            <v>28</v>
          </cell>
          <cell r="U31" t="str">
            <v>Total customers</v>
          </cell>
          <cell r="W31">
            <v>380717</v>
          </cell>
          <cell r="X31">
            <v>31885</v>
          </cell>
          <cell r="Y31">
            <v>31677</v>
          </cell>
          <cell r="Z31">
            <v>31613</v>
          </cell>
          <cell r="AA31">
            <v>31639</v>
          </cell>
          <cell r="AB31">
            <v>31659</v>
          </cell>
          <cell r="AC31">
            <v>31687</v>
          </cell>
          <cell r="AD31">
            <v>31705</v>
          </cell>
          <cell r="AE31">
            <v>31720</v>
          </cell>
          <cell r="AF31">
            <v>31746</v>
          </cell>
          <cell r="AG31">
            <v>31769</v>
          </cell>
          <cell r="AH31">
            <v>31799</v>
          </cell>
          <cell r="AI31">
            <v>31818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T33">
            <v>30</v>
          </cell>
        </row>
        <row r="34">
          <cell r="A34">
            <v>31</v>
          </cell>
          <cell r="B34" t="str">
            <v>Volume (KWH)</v>
          </cell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W34" t="str">
            <v>Total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E35">
            <v>22867</v>
          </cell>
          <cell r="F35">
            <v>45138</v>
          </cell>
          <cell r="G35">
            <v>64947</v>
          </cell>
          <cell r="H35">
            <v>85742</v>
          </cell>
          <cell r="I35">
            <v>107194</v>
          </cell>
          <cell r="J35">
            <v>133728</v>
          </cell>
          <cell r="K35">
            <v>168812</v>
          </cell>
          <cell r="L35">
            <v>204139</v>
          </cell>
          <cell r="M35">
            <v>235283</v>
          </cell>
          <cell r="N35">
            <v>259355</v>
          </cell>
          <cell r="O35">
            <v>281620</v>
          </cell>
          <cell r="P35">
            <v>305020</v>
          </cell>
          <cell r="T35">
            <v>32</v>
          </cell>
          <cell r="U35" t="str">
            <v>Residential</v>
          </cell>
          <cell r="W35">
            <v>1926996.618</v>
          </cell>
          <cell r="X35">
            <v>24079</v>
          </cell>
          <cell r="Y35">
            <v>47767</v>
          </cell>
          <cell r="Z35">
            <v>65511</v>
          </cell>
          <cell r="AA35">
            <v>83591</v>
          </cell>
          <cell r="AB35">
            <v>106176</v>
          </cell>
          <cell r="AC35">
            <v>137869.06200000001</v>
          </cell>
          <cell r="AD35">
            <v>169922.42600000001</v>
          </cell>
          <cell r="AE35">
            <v>202345.42600000001</v>
          </cell>
          <cell r="AF35">
            <v>235406.42600000001</v>
          </cell>
          <cell r="AG35">
            <v>263257.42599999998</v>
          </cell>
          <cell r="AH35">
            <v>284626.42599999998</v>
          </cell>
          <cell r="AI35">
            <v>306445.42599999998</v>
          </cell>
        </row>
        <row r="36">
          <cell r="A36">
            <v>33</v>
          </cell>
          <cell r="B36" t="str">
            <v>Commercial</v>
          </cell>
          <cell r="E36">
            <v>22653</v>
          </cell>
          <cell r="F36">
            <v>44034</v>
          </cell>
          <cell r="G36">
            <v>64679</v>
          </cell>
          <cell r="H36">
            <v>86036</v>
          </cell>
          <cell r="I36">
            <v>107497</v>
          </cell>
          <cell r="J36">
            <v>131988</v>
          </cell>
          <cell r="K36">
            <v>162258</v>
          </cell>
          <cell r="L36">
            <v>192181</v>
          </cell>
          <cell r="M36">
            <v>220238</v>
          </cell>
          <cell r="N36">
            <v>245733</v>
          </cell>
          <cell r="O36">
            <v>270609</v>
          </cell>
          <cell r="P36">
            <v>293262</v>
          </cell>
          <cell r="T36">
            <v>33</v>
          </cell>
          <cell r="U36" t="str">
            <v>Commercial</v>
          </cell>
          <cell r="W36">
            <v>1935483.273</v>
          </cell>
          <cell r="X36">
            <v>23237</v>
          </cell>
          <cell r="Y36">
            <v>44232</v>
          </cell>
          <cell r="Z36">
            <v>61829</v>
          </cell>
          <cell r="AA36">
            <v>86001</v>
          </cell>
          <cell r="AB36">
            <v>111572</v>
          </cell>
          <cell r="AC36">
            <v>141369.34899999999</v>
          </cell>
          <cell r="AD36">
            <v>170547.15399999998</v>
          </cell>
          <cell r="AE36">
            <v>201720.15399999998</v>
          </cell>
          <cell r="AF36">
            <v>233940.15399999998</v>
          </cell>
          <cell r="AG36">
            <v>261721.15399999998</v>
          </cell>
          <cell r="AH36">
            <v>288458.15399999998</v>
          </cell>
          <cell r="AI36">
            <v>310856.15399999998</v>
          </cell>
        </row>
        <row r="37">
          <cell r="A37">
            <v>34</v>
          </cell>
          <cell r="B37" t="str">
            <v xml:space="preserve">Industrial </v>
          </cell>
          <cell r="E37">
            <v>4880</v>
          </cell>
          <cell r="F37">
            <v>11530</v>
          </cell>
          <cell r="G37">
            <v>11612</v>
          </cell>
          <cell r="H37">
            <v>11884</v>
          </cell>
          <cell r="I37">
            <v>12008</v>
          </cell>
          <cell r="J37">
            <v>12382</v>
          </cell>
          <cell r="K37">
            <v>13092</v>
          </cell>
          <cell r="L37">
            <v>13460</v>
          </cell>
          <cell r="M37">
            <v>13978</v>
          </cell>
          <cell r="N37">
            <v>13978</v>
          </cell>
          <cell r="O37">
            <v>14246</v>
          </cell>
          <cell r="P37">
            <v>14806</v>
          </cell>
          <cell r="T37">
            <v>34</v>
          </cell>
          <cell r="U37" t="str">
            <v xml:space="preserve">Industrial </v>
          </cell>
          <cell r="W37">
            <v>169196.03200000001</v>
          </cell>
          <cell r="X37">
            <v>2100</v>
          </cell>
          <cell r="Y37">
            <v>5850</v>
          </cell>
          <cell r="Z37">
            <v>7750</v>
          </cell>
          <cell r="AA37">
            <v>8960</v>
          </cell>
          <cell r="AB37">
            <v>9450</v>
          </cell>
          <cell r="AC37">
            <v>10922.576000000001</v>
          </cell>
          <cell r="AD37">
            <v>12762.576000000001</v>
          </cell>
          <cell r="AE37">
            <v>15682.576000000001</v>
          </cell>
          <cell r="AF37">
            <v>18382.576000000001</v>
          </cell>
          <cell r="AG37">
            <v>22147.576000000001</v>
          </cell>
          <cell r="AH37">
            <v>27259.576000000001</v>
          </cell>
          <cell r="AI37">
            <v>27928.576000000001</v>
          </cell>
        </row>
        <row r="38">
          <cell r="A38">
            <v>35</v>
          </cell>
          <cell r="B38" t="str">
            <v>Other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35</v>
          </cell>
          <cell r="U38" t="str">
            <v>Other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36</v>
          </cell>
          <cell r="B39" t="str">
            <v>Total Deliveries</v>
          </cell>
          <cell r="E39">
            <v>50400</v>
          </cell>
          <cell r="F39">
            <v>100702</v>
          </cell>
          <cell r="G39">
            <v>141238</v>
          </cell>
          <cell r="H39">
            <v>183662</v>
          </cell>
          <cell r="I39">
            <v>226699</v>
          </cell>
          <cell r="J39">
            <v>278098</v>
          </cell>
          <cell r="K39">
            <v>344162</v>
          </cell>
          <cell r="L39">
            <v>409780</v>
          </cell>
          <cell r="M39">
            <v>469499</v>
          </cell>
          <cell r="N39">
            <v>519066</v>
          </cell>
          <cell r="O39">
            <v>566475</v>
          </cell>
          <cell r="P39">
            <v>613088</v>
          </cell>
          <cell r="T39">
            <v>36</v>
          </cell>
          <cell r="U39" t="str">
            <v>Total Deliveries</v>
          </cell>
          <cell r="W39">
            <v>4031675.923</v>
          </cell>
          <cell r="X39">
            <v>49416</v>
          </cell>
          <cell r="Y39">
            <v>97849</v>
          </cell>
          <cell r="Z39">
            <v>135090</v>
          </cell>
          <cell r="AA39">
            <v>178552</v>
          </cell>
          <cell r="AB39">
            <v>227198</v>
          </cell>
          <cell r="AC39">
            <v>290160.98699999996</v>
          </cell>
          <cell r="AD39">
            <v>353232.15599999996</v>
          </cell>
          <cell r="AE39">
            <v>419748.15599999996</v>
          </cell>
          <cell r="AF39">
            <v>487729.15599999996</v>
          </cell>
          <cell r="AG39">
            <v>547126.15599999996</v>
          </cell>
          <cell r="AH39">
            <v>600344.15599999996</v>
          </cell>
          <cell r="AI39">
            <v>645230.15599999996</v>
          </cell>
        </row>
        <row r="40">
          <cell r="A40">
            <v>37</v>
          </cell>
          <cell r="T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  <cell r="B43" t="str">
            <v xml:space="preserve">BUDGET </v>
          </cell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A44">
            <v>41</v>
          </cell>
          <cell r="B44" t="str">
            <v>Customers  - YTD average</v>
          </cell>
          <cell r="E44">
            <v>31510</v>
          </cell>
          <cell r="F44">
            <v>31530</v>
          </cell>
          <cell r="G44">
            <v>31546</v>
          </cell>
          <cell r="H44">
            <v>31560</v>
          </cell>
          <cell r="I44">
            <v>31574</v>
          </cell>
          <cell r="J44">
            <v>31588</v>
          </cell>
          <cell r="K44">
            <v>31596</v>
          </cell>
          <cell r="L44">
            <v>31605</v>
          </cell>
          <cell r="M44">
            <v>31615</v>
          </cell>
          <cell r="N44">
            <v>31621</v>
          </cell>
          <cell r="O44">
            <v>31629</v>
          </cell>
          <cell r="P44">
            <v>31636</v>
          </cell>
          <cell r="T44">
            <v>39</v>
          </cell>
          <cell r="X44">
            <v>0</v>
          </cell>
        </row>
        <row r="45">
          <cell r="A45">
            <v>42</v>
          </cell>
          <cell r="B45" t="str">
            <v>Volume (KWH)- cumulative total</v>
          </cell>
          <cell r="E45">
            <v>43146</v>
          </cell>
          <cell r="F45">
            <v>87093</v>
          </cell>
          <cell r="G45">
            <v>129913</v>
          </cell>
          <cell r="H45">
            <v>173584</v>
          </cell>
          <cell r="I45">
            <v>222151</v>
          </cell>
          <cell r="J45">
            <v>277825</v>
          </cell>
          <cell r="K45">
            <v>333971</v>
          </cell>
          <cell r="L45">
            <v>390047</v>
          </cell>
          <cell r="M45">
            <v>445902</v>
          </cell>
          <cell r="N45">
            <v>500541</v>
          </cell>
          <cell r="O45">
            <v>547142</v>
          </cell>
          <cell r="P45">
            <v>591844</v>
          </cell>
          <cell r="T45">
            <v>40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7">
          <cell r="G47" t="str">
            <v>Q1 2020</v>
          </cell>
          <cell r="J47" t="str">
            <v>Q2 2020</v>
          </cell>
          <cell r="M47" t="str">
            <v>Q3 2020</v>
          </cell>
          <cell r="P47" t="str">
            <v>Q4 2020</v>
          </cell>
        </row>
        <row r="48">
          <cell r="G48">
            <v>24893</v>
          </cell>
          <cell r="J48">
            <v>24952</v>
          </cell>
          <cell r="M48">
            <v>25104</v>
          </cell>
          <cell r="P48">
            <v>25229</v>
          </cell>
        </row>
        <row r="49">
          <cell r="G49">
            <v>7260</v>
          </cell>
          <cell r="J49">
            <v>7263</v>
          </cell>
          <cell r="M49">
            <v>7282</v>
          </cell>
          <cell r="P49">
            <v>7315</v>
          </cell>
        </row>
        <row r="50">
          <cell r="G50">
            <v>2</v>
          </cell>
          <cell r="J50">
            <v>2</v>
          </cell>
          <cell r="M50">
            <v>2</v>
          </cell>
          <cell r="P50">
            <v>2</v>
          </cell>
        </row>
        <row r="51">
          <cell r="G51">
            <v>0</v>
          </cell>
          <cell r="J51">
            <v>0</v>
          </cell>
          <cell r="M51">
            <v>0</v>
          </cell>
          <cell r="P51">
            <v>0</v>
          </cell>
        </row>
        <row r="52">
          <cell r="G52">
            <v>32155</v>
          </cell>
          <cell r="J52">
            <v>32217</v>
          </cell>
          <cell r="M52">
            <v>32388</v>
          </cell>
          <cell r="P52">
            <v>32546</v>
          </cell>
        </row>
        <row r="55">
          <cell r="G55">
            <v>64947</v>
          </cell>
          <cell r="J55">
            <v>68781</v>
          </cell>
          <cell r="M55">
            <v>101555</v>
          </cell>
          <cell r="P55">
            <v>69737</v>
          </cell>
        </row>
        <row r="56">
          <cell r="G56">
            <v>64679</v>
          </cell>
          <cell r="J56">
            <v>67309</v>
          </cell>
          <cell r="M56">
            <v>88250</v>
          </cell>
          <cell r="P56">
            <v>73024</v>
          </cell>
        </row>
        <row r="57">
          <cell r="G57">
            <v>11612</v>
          </cell>
          <cell r="J57">
            <v>770</v>
          </cell>
          <cell r="M57">
            <v>1596</v>
          </cell>
          <cell r="P57">
            <v>828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</row>
        <row r="59">
          <cell r="G59">
            <v>141238</v>
          </cell>
          <cell r="J59">
            <v>136860</v>
          </cell>
          <cell r="M59">
            <v>191401</v>
          </cell>
          <cell r="P59">
            <v>143589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INPUT_Date.Etc"/>
      <sheetName val="Customers Act vs Budget"/>
      <sheetName val="VolumesActvsAct"/>
      <sheetName val="Customer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Sandpiper"/>
      <sheetName val="Elkton"/>
      <sheetName val="CFG"/>
      <sheetName val="FPUNG"/>
      <sheetName val="Electric"/>
      <sheetName val="ESNG"/>
      <sheetName val="SharpDelmarva"/>
      <sheetName val="FloridaPropane"/>
      <sheetName val="AEO"/>
      <sheetName val="PESCO"/>
    </sheetNames>
    <sheetDataSet>
      <sheetData sheetId="0"/>
      <sheetData sheetId="1">
        <row r="4">
          <cell r="B4">
            <v>11</v>
          </cell>
        </row>
        <row r="7">
          <cell r="B7" t="str">
            <v>For the Eleven Months ended November 30, 2021 and 2020</v>
          </cell>
        </row>
        <row r="12">
          <cell r="I12">
            <v>9</v>
          </cell>
          <cell r="J12">
            <v>10</v>
          </cell>
          <cell r="K12">
            <v>11</v>
          </cell>
          <cell r="L12">
            <v>12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2021 and 2020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2021</v>
          </cell>
          <cell r="J14" t="str">
            <v>Actual customers for the Month of January 2020</v>
          </cell>
          <cell r="K14" t="str">
            <v>Average customers for the One Month ended January 31, 2021</v>
          </cell>
          <cell r="L14" t="str">
            <v>Average customers for the One Month ended January 31, 2020</v>
          </cell>
          <cell r="M14" t="str">
            <v>Volume for the Month of January 2021</v>
          </cell>
          <cell r="N14" t="str">
            <v>Volume for the Month of January 2020</v>
          </cell>
          <cell r="O14" t="str">
            <v>Volume for the One Month ended January 31, 2021</v>
          </cell>
          <cell r="P14" t="str">
            <v>Volume for the One Month ended January 31, 2020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2021 and 2020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2021</v>
          </cell>
          <cell r="J15" t="str">
            <v>Actual customers for the Month of February 2020</v>
          </cell>
          <cell r="K15" t="str">
            <v>Average customers for the Two Months ended February 28, 2021</v>
          </cell>
          <cell r="L15" t="str">
            <v>Average customers for the Two Months ended February 28, 2020</v>
          </cell>
          <cell r="M15" t="str">
            <v>Volume for the Month of February 2021</v>
          </cell>
          <cell r="N15" t="str">
            <v>Volume for the Month of February 2020</v>
          </cell>
          <cell r="O15" t="str">
            <v>Volume for the Two Months ended February 28, 2021</v>
          </cell>
          <cell r="P15" t="str">
            <v>Volume for the Two Months ended February 28, 2020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2021 and 2020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2021</v>
          </cell>
          <cell r="J16" t="str">
            <v>Actual customers for the Month of March 2020</v>
          </cell>
          <cell r="K16" t="str">
            <v>Average customers for the Three Months ended March 31, 2021</v>
          </cell>
          <cell r="L16" t="str">
            <v>Average customers for the Three Months ended March 31, 2020</v>
          </cell>
          <cell r="M16" t="str">
            <v>Volume for the Month of March 2021</v>
          </cell>
          <cell r="N16" t="str">
            <v>Volume for the Month of March 2020</v>
          </cell>
          <cell r="O16" t="str">
            <v>Volume for the Three Months ended March 31, 2021</v>
          </cell>
          <cell r="P16" t="str">
            <v>Volume for the Three Months ended March 31, 2020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2021 and 2020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2021</v>
          </cell>
          <cell r="J17" t="str">
            <v>Actual customers for the Month of April 2020</v>
          </cell>
          <cell r="K17" t="str">
            <v>Average customers for the Four Months ended April 30, 2021</v>
          </cell>
          <cell r="L17" t="str">
            <v>Average customers for the Four Months ended April 30, 2020</v>
          </cell>
          <cell r="M17" t="str">
            <v>Volume for the Month of April 2021</v>
          </cell>
          <cell r="N17" t="str">
            <v>Volume for the Month of April 2020</v>
          </cell>
          <cell r="O17" t="str">
            <v>Volume for the Four Months ended April 30, 2021</v>
          </cell>
          <cell r="P17" t="str">
            <v>Volume for the Four Months ended April 30, 2020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2021 and 2020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2021</v>
          </cell>
          <cell r="J18" t="str">
            <v>Actual customers for the Month of May 2020</v>
          </cell>
          <cell r="K18" t="str">
            <v>Average customers for the Five Months ended May 31, 2021</v>
          </cell>
          <cell r="L18" t="str">
            <v>Average customers for the Five Months ended May 31, 2020</v>
          </cell>
          <cell r="M18" t="str">
            <v>Volume for the Month of May 2021</v>
          </cell>
          <cell r="N18" t="str">
            <v>Volume for the Month of May 2020</v>
          </cell>
          <cell r="O18" t="str">
            <v>Volume for the Five Months ended May 31, 2021</v>
          </cell>
          <cell r="P18" t="str">
            <v>Volume for the Five Months ended May 31, 2020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2021 and 2020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2021</v>
          </cell>
          <cell r="J19" t="str">
            <v>Actual customers for the Month of June 2020</v>
          </cell>
          <cell r="K19" t="str">
            <v>Average customers for the Six Months ended June 30, 2021</v>
          </cell>
          <cell r="L19" t="str">
            <v>Average customers for the Six Months ended June 30, 2020</v>
          </cell>
          <cell r="M19" t="str">
            <v>Volume for the Month of June 2021</v>
          </cell>
          <cell r="N19" t="str">
            <v>Volume for the Month of June 2020</v>
          </cell>
          <cell r="O19" t="str">
            <v>Volume for the Six Months ended June 30, 2021</v>
          </cell>
          <cell r="P19" t="str">
            <v>Volume for the Six Months ended June 30, 2020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2021 and 2020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2021</v>
          </cell>
          <cell r="J20" t="str">
            <v>Actual customers for the Month of July 2020</v>
          </cell>
          <cell r="K20" t="str">
            <v>Average customers for the Seven Months ended July 31, 2021</v>
          </cell>
          <cell r="L20" t="str">
            <v>Average customers for the Seven Months ended July 31, 2020</v>
          </cell>
          <cell r="M20" t="str">
            <v>Volume for the Month of July 2021</v>
          </cell>
          <cell r="N20" t="str">
            <v>Volume for the Month of July 2020</v>
          </cell>
          <cell r="O20" t="str">
            <v>Volume for the Seven Months ended July 31, 2021</v>
          </cell>
          <cell r="P20" t="str">
            <v>Volume for the Seven Months ended July 31, 2020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2021 and 2020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2021</v>
          </cell>
          <cell r="J21" t="str">
            <v>Actual customers for the Month of August 2020</v>
          </cell>
          <cell r="K21" t="str">
            <v>Average customers for the Eight Months ended August 31, 2021</v>
          </cell>
          <cell r="L21" t="str">
            <v>Average customers for the Eight Months ended August 31, 2020</v>
          </cell>
          <cell r="M21" t="str">
            <v>Volume for the Month of August 2021</v>
          </cell>
          <cell r="N21" t="str">
            <v>Volume for the Month of August 2020</v>
          </cell>
          <cell r="O21" t="str">
            <v>Volume for the Eight Months ended August 31, 2021</v>
          </cell>
          <cell r="P21" t="str">
            <v>Volume for the Eight Months ended August 31, 2020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2021 and 2020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2021</v>
          </cell>
          <cell r="J22" t="str">
            <v>Actual customers for the Month of September 2020</v>
          </cell>
          <cell r="K22" t="str">
            <v>Average customers for the Nine Months ended September 30, 2021</v>
          </cell>
          <cell r="L22" t="str">
            <v>Average customers for the Nine Months ended September 30, 2020</v>
          </cell>
          <cell r="M22" t="str">
            <v>Volume for the Month of September 2021</v>
          </cell>
          <cell r="N22" t="str">
            <v>Volume for the Month of September 2020</v>
          </cell>
          <cell r="O22" t="str">
            <v>Volume for the Nine Months ended September 30, 2021</v>
          </cell>
          <cell r="P22" t="str">
            <v>Volume for the Nine Months ended September 30, 2020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2021 and 2020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2021</v>
          </cell>
          <cell r="J23" t="str">
            <v>Actual customers for the Month of October 2020</v>
          </cell>
          <cell r="K23" t="str">
            <v>Average customers for the Ten Months ended October 31, 2021</v>
          </cell>
          <cell r="L23" t="str">
            <v>Average customers for the Ten Months ended October 31, 2020</v>
          </cell>
          <cell r="M23" t="str">
            <v>Volume for the Month of October 2021</v>
          </cell>
          <cell r="N23" t="str">
            <v>Volume for the Month of October 2020</v>
          </cell>
          <cell r="O23" t="str">
            <v>Volume for the Ten Months ended October 31, 2021</v>
          </cell>
          <cell r="P23" t="str">
            <v>Volume for the Ten Months ended October 31, 2020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2021 and 2020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2021</v>
          </cell>
          <cell r="J24" t="str">
            <v>Actual customers for the Month of November 2020</v>
          </cell>
          <cell r="K24" t="str">
            <v>Average customers for the Eleven Months ended November 30, 2021</v>
          </cell>
          <cell r="L24" t="str">
            <v>Average customers for the Eleven Months ended November 30, 2020</v>
          </cell>
          <cell r="M24" t="str">
            <v>Volume for the Month of November 2021</v>
          </cell>
          <cell r="N24" t="str">
            <v>Volume for the Month of November 2020</v>
          </cell>
          <cell r="O24" t="str">
            <v>Volume for the Eleven Months ended November 30, 2021</v>
          </cell>
          <cell r="P24" t="str">
            <v>Volume for the Eleven Months ended November 30, 2020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2021 and 2020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2021</v>
          </cell>
          <cell r="J25" t="str">
            <v>Actual customers for the Month of December 2020</v>
          </cell>
          <cell r="K25" t="str">
            <v>Average customers for the Twelve Months ended December 31, 2021</v>
          </cell>
          <cell r="L25" t="str">
            <v>Average customers for the Twelve Months ended December 31, 2020</v>
          </cell>
          <cell r="M25" t="str">
            <v>Volume for the Month of December 2021</v>
          </cell>
          <cell r="N25" t="str">
            <v>Volume for the Month of December 2020</v>
          </cell>
          <cell r="O25" t="str">
            <v>Volume for the Twelve Months ended December 31, 2021</v>
          </cell>
          <cell r="P25" t="str">
            <v>Volume for the Twelve Months ended December 31,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59736</v>
          </cell>
          <cell r="E5">
            <v>58413</v>
          </cell>
          <cell r="F5">
            <v>58662</v>
          </cell>
          <cell r="G5">
            <v>58961</v>
          </cell>
          <cell r="H5">
            <v>59295</v>
          </cell>
          <cell r="I5">
            <v>59394</v>
          </cell>
          <cell r="J5">
            <v>59603</v>
          </cell>
          <cell r="K5">
            <v>59810</v>
          </cell>
          <cell r="L5">
            <v>60158</v>
          </cell>
          <cell r="M5">
            <v>60442</v>
          </cell>
          <cell r="N5">
            <v>60824</v>
          </cell>
          <cell r="O5">
            <v>61534</v>
          </cell>
          <cell r="P5"/>
          <cell r="T5">
            <v>2</v>
          </cell>
          <cell r="U5" t="str">
            <v>Residential</v>
          </cell>
          <cell r="V5">
            <v>61751</v>
          </cell>
          <cell r="W5">
            <v>679262</v>
          </cell>
          <cell r="X5">
            <v>55404</v>
          </cell>
          <cell r="Y5">
            <v>55605</v>
          </cell>
          <cell r="Z5">
            <v>55794</v>
          </cell>
          <cell r="AA5">
            <v>56100</v>
          </cell>
          <cell r="AB5">
            <v>56302</v>
          </cell>
          <cell r="AC5">
            <v>56460</v>
          </cell>
          <cell r="AD5">
            <v>56576</v>
          </cell>
          <cell r="AE5">
            <v>56806</v>
          </cell>
          <cell r="AF5">
            <v>57057</v>
          </cell>
          <cell r="AG5">
            <v>57356</v>
          </cell>
          <cell r="AH5">
            <v>57713</v>
          </cell>
          <cell r="AI5">
            <v>58089</v>
          </cell>
        </row>
        <row r="6">
          <cell r="A6">
            <v>3</v>
          </cell>
          <cell r="B6" t="str">
            <v>Commercial</v>
          </cell>
          <cell r="C6"/>
          <cell r="D6">
            <v>4207.909090909091</v>
          </cell>
          <cell r="E6">
            <v>4268</v>
          </cell>
          <cell r="F6">
            <v>4266</v>
          </cell>
          <cell r="G6">
            <v>4289</v>
          </cell>
          <cell r="H6">
            <v>4261</v>
          </cell>
          <cell r="I6">
            <v>4225</v>
          </cell>
          <cell r="J6">
            <v>4188</v>
          </cell>
          <cell r="K6">
            <v>4180</v>
          </cell>
          <cell r="L6">
            <v>4155</v>
          </cell>
          <cell r="M6">
            <v>4140</v>
          </cell>
          <cell r="N6">
            <v>4148</v>
          </cell>
          <cell r="O6">
            <v>4167</v>
          </cell>
          <cell r="P6"/>
          <cell r="T6">
            <v>3</v>
          </cell>
          <cell r="U6" t="str">
            <v>Commercial</v>
          </cell>
          <cell r="V6">
            <v>4586</v>
          </cell>
          <cell r="W6">
            <v>50450</v>
          </cell>
          <cell r="X6">
            <v>4223</v>
          </cell>
          <cell r="Y6">
            <v>4230</v>
          </cell>
          <cell r="Z6">
            <v>4245</v>
          </cell>
          <cell r="AA6">
            <v>4214</v>
          </cell>
          <cell r="AB6">
            <v>4204</v>
          </cell>
          <cell r="AC6">
            <v>4186</v>
          </cell>
          <cell r="AD6">
            <v>4178</v>
          </cell>
          <cell r="AE6">
            <v>4167</v>
          </cell>
          <cell r="AF6">
            <v>4167</v>
          </cell>
          <cell r="AG6">
            <v>4178</v>
          </cell>
          <cell r="AH6">
            <v>4204</v>
          </cell>
          <cell r="AI6">
            <v>4254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97.090909090909093</v>
          </cell>
          <cell r="E7">
            <v>97</v>
          </cell>
          <cell r="F7">
            <v>97</v>
          </cell>
          <cell r="G7">
            <v>97</v>
          </cell>
          <cell r="H7">
            <v>97</v>
          </cell>
          <cell r="I7">
            <v>97</v>
          </cell>
          <cell r="J7">
            <v>97</v>
          </cell>
          <cell r="K7">
            <v>97</v>
          </cell>
          <cell r="L7">
            <v>97</v>
          </cell>
          <cell r="M7">
            <v>97</v>
          </cell>
          <cell r="N7">
            <v>97</v>
          </cell>
          <cell r="O7">
            <v>98</v>
          </cell>
          <cell r="P7"/>
          <cell r="T7">
            <v>4</v>
          </cell>
          <cell r="U7" t="str">
            <v xml:space="preserve">Industrial </v>
          </cell>
          <cell r="V7">
            <v>103</v>
          </cell>
          <cell r="W7">
            <v>1138</v>
          </cell>
          <cell r="X7">
            <v>95</v>
          </cell>
          <cell r="Y7">
            <v>95</v>
          </cell>
          <cell r="Z7">
            <v>94</v>
          </cell>
          <cell r="AA7">
            <v>95</v>
          </cell>
          <cell r="AB7">
            <v>95</v>
          </cell>
          <cell r="AC7">
            <v>97</v>
          </cell>
          <cell r="AD7">
            <v>93</v>
          </cell>
          <cell r="AE7">
            <v>93</v>
          </cell>
          <cell r="AF7">
            <v>93</v>
          </cell>
          <cell r="AG7">
            <v>95</v>
          </cell>
          <cell r="AH7">
            <v>96</v>
          </cell>
          <cell r="AI7">
            <v>97</v>
          </cell>
        </row>
        <row r="8">
          <cell r="A8">
            <v>5</v>
          </cell>
          <cell r="B8" t="str">
            <v>Other</v>
          </cell>
          <cell r="C8"/>
          <cell r="D8">
            <v>5.4545454545454541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6</v>
          </cell>
          <cell r="J8">
            <v>6</v>
          </cell>
          <cell r="K8">
            <v>6</v>
          </cell>
          <cell r="L8">
            <v>6</v>
          </cell>
          <cell r="M8">
            <v>4</v>
          </cell>
          <cell r="N8">
            <v>4</v>
          </cell>
          <cell r="O8">
            <v>4</v>
          </cell>
          <cell r="P8"/>
          <cell r="T8">
            <v>5</v>
          </cell>
          <cell r="U8" t="str">
            <v xml:space="preserve">Interruptible </v>
          </cell>
          <cell r="V8">
            <v>17</v>
          </cell>
          <cell r="W8">
            <v>189</v>
          </cell>
          <cell r="X8">
            <v>21</v>
          </cell>
          <cell r="Y8">
            <v>15</v>
          </cell>
          <cell r="Z8">
            <v>17</v>
          </cell>
          <cell r="AA8">
            <v>9</v>
          </cell>
          <cell r="AB8">
            <v>15</v>
          </cell>
          <cell r="AC8">
            <v>23</v>
          </cell>
          <cell r="AD8">
            <v>21</v>
          </cell>
          <cell r="AE8">
            <v>17</v>
          </cell>
          <cell r="AF8">
            <v>24</v>
          </cell>
          <cell r="AG8">
            <v>19</v>
          </cell>
          <cell r="AH8">
            <v>4</v>
          </cell>
          <cell r="AI8">
            <v>4</v>
          </cell>
        </row>
        <row r="9">
          <cell r="A9">
            <v>6</v>
          </cell>
          <cell r="B9" t="str">
            <v>Total customers</v>
          </cell>
          <cell r="C9"/>
          <cell r="D9">
            <v>64046.454545454544</v>
          </cell>
          <cell r="E9">
            <v>62784</v>
          </cell>
          <cell r="F9">
            <v>63031</v>
          </cell>
          <cell r="G9">
            <v>63353</v>
          </cell>
          <cell r="H9">
            <v>63659</v>
          </cell>
          <cell r="I9">
            <v>63722</v>
          </cell>
          <cell r="J9">
            <v>63894</v>
          </cell>
          <cell r="K9">
            <v>64093</v>
          </cell>
          <cell r="L9">
            <v>64416</v>
          </cell>
          <cell r="M9">
            <v>64683</v>
          </cell>
          <cell r="N9">
            <v>65073</v>
          </cell>
          <cell r="O9">
            <v>65803</v>
          </cell>
          <cell r="P9">
            <v>0</v>
          </cell>
          <cell r="T9">
            <v>6</v>
          </cell>
          <cell r="U9" t="str">
            <v>Total customers</v>
          </cell>
          <cell r="V9">
            <v>66457</v>
          </cell>
          <cell r="W9">
            <v>731039</v>
          </cell>
          <cell r="X9">
            <v>59743</v>
          </cell>
          <cell r="Y9">
            <v>59945</v>
          </cell>
          <cell r="Z9">
            <v>60150</v>
          </cell>
          <cell r="AA9">
            <v>60418</v>
          </cell>
          <cell r="AB9">
            <v>60616</v>
          </cell>
          <cell r="AC9">
            <v>60766</v>
          </cell>
          <cell r="AD9">
            <v>60868</v>
          </cell>
          <cell r="AE9">
            <v>61083</v>
          </cell>
          <cell r="AF9">
            <v>61341</v>
          </cell>
          <cell r="AG9">
            <v>61648</v>
          </cell>
          <cell r="AH9">
            <v>62017</v>
          </cell>
          <cell r="AI9">
            <v>62444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(Mcfs)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2824452</v>
          </cell>
          <cell r="E12">
            <v>636082</v>
          </cell>
          <cell r="F12">
            <v>679394</v>
          </cell>
          <cell r="G12">
            <v>566614</v>
          </cell>
          <cell r="H12">
            <v>290139</v>
          </cell>
          <cell r="I12">
            <v>149701</v>
          </cell>
          <cell r="J12">
            <v>78449</v>
          </cell>
          <cell r="K12">
            <v>56524</v>
          </cell>
          <cell r="L12">
            <v>50913</v>
          </cell>
          <cell r="M12">
            <v>50415</v>
          </cell>
          <cell r="N12">
            <v>59085</v>
          </cell>
          <cell r="O12">
            <v>207136</v>
          </cell>
          <cell r="P12"/>
          <cell r="T12">
            <v>9</v>
          </cell>
          <cell r="U12" t="str">
            <v>Residential</v>
          </cell>
          <cell r="W12">
            <v>2809694</v>
          </cell>
          <cell r="X12">
            <v>542160</v>
          </cell>
          <cell r="Y12">
            <v>513289</v>
          </cell>
          <cell r="Z12">
            <v>424355</v>
          </cell>
          <cell r="AA12">
            <v>272873</v>
          </cell>
          <cell r="AB12">
            <v>217847</v>
          </cell>
          <cell r="AC12">
            <v>89659</v>
          </cell>
          <cell r="AD12">
            <v>53768</v>
          </cell>
          <cell r="AE12">
            <v>49625</v>
          </cell>
          <cell r="AF12">
            <v>48375</v>
          </cell>
          <cell r="AG12">
            <v>68075</v>
          </cell>
          <cell r="AH12">
            <v>171614</v>
          </cell>
          <cell r="AI12">
            <v>358054</v>
          </cell>
        </row>
        <row r="13">
          <cell r="A13">
            <v>10</v>
          </cell>
          <cell r="B13" t="str">
            <v>Commercial</v>
          </cell>
          <cell r="D13">
            <v>2109091</v>
          </cell>
          <cell r="E13">
            <v>390870</v>
          </cell>
          <cell r="F13">
            <v>409302</v>
          </cell>
          <cell r="G13">
            <v>329318</v>
          </cell>
          <cell r="H13">
            <v>202041</v>
          </cell>
          <cell r="I13">
            <v>118700</v>
          </cell>
          <cell r="J13">
            <v>98731</v>
          </cell>
          <cell r="K13">
            <v>91669</v>
          </cell>
          <cell r="L13">
            <v>88648</v>
          </cell>
          <cell r="M13">
            <v>91474</v>
          </cell>
          <cell r="N13">
            <v>111417</v>
          </cell>
          <cell r="O13">
            <v>176921</v>
          </cell>
          <cell r="P13"/>
          <cell r="T13">
            <v>10</v>
          </cell>
          <cell r="U13" t="str">
            <v>Commercial</v>
          </cell>
          <cell r="W13">
            <v>2171122</v>
          </cell>
          <cell r="X13">
            <v>347748</v>
          </cell>
          <cell r="Y13">
            <v>333837</v>
          </cell>
          <cell r="Z13">
            <v>269915</v>
          </cell>
          <cell r="AA13">
            <v>189449</v>
          </cell>
          <cell r="AB13">
            <v>137947</v>
          </cell>
          <cell r="AC13">
            <v>98118</v>
          </cell>
          <cell r="AD13">
            <v>82653</v>
          </cell>
          <cell r="AE13">
            <v>78042</v>
          </cell>
          <cell r="AF13">
            <v>88901</v>
          </cell>
          <cell r="AG13">
            <v>115168</v>
          </cell>
          <cell r="AH13">
            <v>160282</v>
          </cell>
          <cell r="AI13">
            <v>269062</v>
          </cell>
        </row>
        <row r="14">
          <cell r="A14">
            <v>11</v>
          </cell>
          <cell r="B14" t="str">
            <v xml:space="preserve">Industrial </v>
          </cell>
          <cell r="D14">
            <v>2651395</v>
          </cell>
          <cell r="E14">
            <v>286368</v>
          </cell>
          <cell r="F14">
            <v>259261</v>
          </cell>
          <cell r="G14">
            <v>267529</v>
          </cell>
          <cell r="H14">
            <v>258747</v>
          </cell>
          <cell r="I14">
            <v>223146</v>
          </cell>
          <cell r="J14">
            <v>215767</v>
          </cell>
          <cell r="K14">
            <v>207456</v>
          </cell>
          <cell r="L14">
            <v>207659</v>
          </cell>
          <cell r="M14">
            <v>238846</v>
          </cell>
          <cell r="N14">
            <v>251909</v>
          </cell>
          <cell r="O14">
            <v>234707</v>
          </cell>
          <cell r="P14"/>
          <cell r="T14">
            <v>11</v>
          </cell>
          <cell r="U14" t="str">
            <v xml:space="preserve">Industrial </v>
          </cell>
          <cell r="W14">
            <v>2887403</v>
          </cell>
          <cell r="X14">
            <v>284932</v>
          </cell>
          <cell r="Y14">
            <v>269390</v>
          </cell>
          <cell r="Z14">
            <v>263171</v>
          </cell>
          <cell r="AA14">
            <v>234948</v>
          </cell>
          <cell r="AB14">
            <v>217298</v>
          </cell>
          <cell r="AC14">
            <v>219366</v>
          </cell>
          <cell r="AD14">
            <v>206146</v>
          </cell>
          <cell r="AE14">
            <v>187200</v>
          </cell>
          <cell r="AF14">
            <v>231134</v>
          </cell>
          <cell r="AG14">
            <v>287171</v>
          </cell>
          <cell r="AH14">
            <v>221926</v>
          </cell>
          <cell r="AI14">
            <v>264721</v>
          </cell>
        </row>
        <row r="15">
          <cell r="A15">
            <v>12</v>
          </cell>
          <cell r="B15" t="str">
            <v>Other</v>
          </cell>
          <cell r="D15">
            <v>269040</v>
          </cell>
          <cell r="E15">
            <v>32664</v>
          </cell>
          <cell r="F15">
            <v>27199</v>
          </cell>
          <cell r="G15">
            <v>25580</v>
          </cell>
          <cell r="H15">
            <v>25071</v>
          </cell>
          <cell r="I15">
            <v>21796</v>
          </cell>
          <cell r="J15">
            <v>21408</v>
          </cell>
          <cell r="K15">
            <v>24991</v>
          </cell>
          <cell r="L15">
            <v>20567</v>
          </cell>
          <cell r="M15">
            <v>21458</v>
          </cell>
          <cell r="N15">
            <v>22394</v>
          </cell>
          <cell r="O15">
            <v>25912</v>
          </cell>
          <cell r="P15"/>
          <cell r="T15">
            <v>12</v>
          </cell>
          <cell r="U15" t="str">
            <v xml:space="preserve">Interruptible </v>
          </cell>
          <cell r="W15">
            <v>260375</v>
          </cell>
          <cell r="X15">
            <v>26758</v>
          </cell>
          <cell r="Y15">
            <v>25205</v>
          </cell>
          <cell r="Z15">
            <v>22180</v>
          </cell>
          <cell r="AA15">
            <v>21700</v>
          </cell>
          <cell r="AB15">
            <v>19317</v>
          </cell>
          <cell r="AC15">
            <v>22639</v>
          </cell>
          <cell r="AD15">
            <v>18699</v>
          </cell>
          <cell r="AE15">
            <v>15278</v>
          </cell>
          <cell r="AF15">
            <v>17306</v>
          </cell>
          <cell r="AG15">
            <v>22028</v>
          </cell>
          <cell r="AH15">
            <v>21708</v>
          </cell>
          <cell r="AI15">
            <v>27557</v>
          </cell>
        </row>
        <row r="16">
          <cell r="A16">
            <v>13</v>
          </cell>
          <cell r="B16" t="str">
            <v>Total Volume</v>
          </cell>
          <cell r="D16">
            <v>7853978</v>
          </cell>
          <cell r="E16">
            <v>1345984</v>
          </cell>
          <cell r="F16">
            <v>1375156</v>
          </cell>
          <cell r="G16">
            <v>1189041</v>
          </cell>
          <cell r="H16">
            <v>775998</v>
          </cell>
          <cell r="I16">
            <v>513343</v>
          </cell>
          <cell r="J16">
            <v>414355</v>
          </cell>
          <cell r="K16">
            <v>380640</v>
          </cell>
          <cell r="L16">
            <v>367787</v>
          </cell>
          <cell r="M16">
            <v>402193</v>
          </cell>
          <cell r="N16">
            <v>444805</v>
          </cell>
          <cell r="O16">
            <v>644676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8128594</v>
          </cell>
          <cell r="X16">
            <v>1201598</v>
          </cell>
          <cell r="Y16">
            <v>1141721</v>
          </cell>
          <cell r="Z16">
            <v>979621</v>
          </cell>
          <cell r="AA16">
            <v>718970</v>
          </cell>
          <cell r="AB16">
            <v>592409</v>
          </cell>
          <cell r="AC16">
            <v>429782</v>
          </cell>
          <cell r="AD16">
            <v>361266</v>
          </cell>
          <cell r="AE16">
            <v>330145</v>
          </cell>
          <cell r="AF16">
            <v>385716</v>
          </cell>
          <cell r="AG16">
            <v>492442</v>
          </cell>
          <cell r="AH16">
            <v>575530</v>
          </cell>
          <cell r="AI16">
            <v>919394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1.035984</v>
          </cell>
          <cell r="I18">
            <v>1.0363309999999999</v>
          </cell>
          <cell r="J18">
            <v>1.0378799999999999</v>
          </cell>
          <cell r="K18">
            <v>1.0355460000000001</v>
          </cell>
          <cell r="L18">
            <v>1.035309</v>
          </cell>
          <cell r="M18">
            <v>1.0329710000000001</v>
          </cell>
          <cell r="N18">
            <v>1.0365549999999999</v>
          </cell>
          <cell r="O18">
            <v>0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>Volume - 2021 in (Dts)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 xml:space="preserve">Volume - 2020 in (Dts) 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2712709</v>
          </cell>
          <cell r="E21">
            <v>659626</v>
          </cell>
          <cell r="F21">
            <v>703652</v>
          </cell>
          <cell r="G21">
            <v>587847</v>
          </cell>
          <cell r="H21">
            <v>300579</v>
          </cell>
          <cell r="I21">
            <v>155140</v>
          </cell>
          <cell r="J21">
            <v>81299</v>
          </cell>
          <cell r="K21">
            <v>58533</v>
          </cell>
          <cell r="L21">
            <v>52711</v>
          </cell>
          <cell r="M21">
            <v>52077</v>
          </cell>
          <cell r="N21">
            <v>61245</v>
          </cell>
          <cell r="O21">
            <v>0</v>
          </cell>
          <cell r="P21">
            <v>0</v>
          </cell>
          <cell r="T21">
            <v>18</v>
          </cell>
          <cell r="U21" t="str">
            <v>Residential</v>
          </cell>
          <cell r="W21">
            <v>2915073</v>
          </cell>
          <cell r="X21">
            <v>561966</v>
          </cell>
          <cell r="Y21">
            <v>532849</v>
          </cell>
          <cell r="Z21">
            <v>440294</v>
          </cell>
          <cell r="AA21">
            <v>283434</v>
          </cell>
          <cell r="AB21">
            <v>226014</v>
          </cell>
          <cell r="AC21">
            <v>92901</v>
          </cell>
          <cell r="AD21">
            <v>55591</v>
          </cell>
          <cell r="AE21">
            <v>51298</v>
          </cell>
          <cell r="AF21">
            <v>50224</v>
          </cell>
          <cell r="AG21">
            <v>70400</v>
          </cell>
          <cell r="AH21">
            <v>178058</v>
          </cell>
          <cell r="AI21">
            <v>372044</v>
          </cell>
        </row>
        <row r="22">
          <cell r="A22">
            <v>19</v>
          </cell>
          <cell r="B22" t="str">
            <v>Commercial</v>
          </cell>
          <cell r="D22">
            <v>2002239</v>
          </cell>
          <cell r="E22">
            <v>405338</v>
          </cell>
          <cell r="F22">
            <v>423916</v>
          </cell>
          <cell r="G22">
            <v>341659</v>
          </cell>
          <cell r="H22">
            <v>209311</v>
          </cell>
          <cell r="I22">
            <v>123012</v>
          </cell>
          <cell r="J22">
            <v>102318</v>
          </cell>
          <cell r="K22">
            <v>94927</v>
          </cell>
          <cell r="L22">
            <v>91778</v>
          </cell>
          <cell r="M22">
            <v>94490</v>
          </cell>
          <cell r="N22">
            <v>115490</v>
          </cell>
          <cell r="O22">
            <v>0</v>
          </cell>
          <cell r="P22">
            <v>0</v>
          </cell>
          <cell r="T22">
            <v>19</v>
          </cell>
          <cell r="U22" t="str">
            <v>Commercial</v>
          </cell>
          <cell r="W22">
            <v>2252033</v>
          </cell>
          <cell r="X22">
            <v>360452</v>
          </cell>
          <cell r="Y22">
            <v>346559</v>
          </cell>
          <cell r="Z22">
            <v>280053</v>
          </cell>
          <cell r="AA22">
            <v>196781</v>
          </cell>
          <cell r="AB22">
            <v>143118</v>
          </cell>
          <cell r="AC22">
            <v>101666</v>
          </cell>
          <cell r="AD22">
            <v>85456</v>
          </cell>
          <cell r="AE22">
            <v>80673</v>
          </cell>
          <cell r="AF22">
            <v>92299</v>
          </cell>
          <cell r="AG22">
            <v>119101</v>
          </cell>
          <cell r="AH22">
            <v>166300</v>
          </cell>
          <cell r="AI22">
            <v>279575</v>
          </cell>
        </row>
        <row r="23">
          <cell r="A23">
            <v>20</v>
          </cell>
          <cell r="B23" t="str">
            <v xml:space="preserve">Industrial </v>
          </cell>
          <cell r="D23">
            <v>2503617</v>
          </cell>
          <cell r="E23">
            <v>296968</v>
          </cell>
          <cell r="F23">
            <v>268518</v>
          </cell>
          <cell r="G23">
            <v>277554</v>
          </cell>
          <cell r="H23">
            <v>268058</v>
          </cell>
          <cell r="I23">
            <v>231253</v>
          </cell>
          <cell r="J23">
            <v>223606</v>
          </cell>
          <cell r="K23">
            <v>214830</v>
          </cell>
          <cell r="L23">
            <v>214991</v>
          </cell>
          <cell r="M23">
            <v>246721</v>
          </cell>
          <cell r="N23">
            <v>261118</v>
          </cell>
          <cell r="O23">
            <v>0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2993754</v>
          </cell>
          <cell r="X23">
            <v>295341</v>
          </cell>
          <cell r="Y23">
            <v>279656</v>
          </cell>
          <cell r="Z23">
            <v>273056</v>
          </cell>
          <cell r="AA23">
            <v>244041</v>
          </cell>
          <cell r="AB23">
            <v>225444</v>
          </cell>
          <cell r="AC23">
            <v>227298</v>
          </cell>
          <cell r="AD23">
            <v>213136</v>
          </cell>
          <cell r="AE23">
            <v>193512</v>
          </cell>
          <cell r="AF23">
            <v>239968</v>
          </cell>
          <cell r="AG23">
            <v>296979</v>
          </cell>
          <cell r="AH23">
            <v>230259</v>
          </cell>
          <cell r="AI23">
            <v>275064</v>
          </cell>
        </row>
        <row r="24">
          <cell r="A24">
            <v>21</v>
          </cell>
          <cell r="B24" t="str">
            <v>Other</v>
          </cell>
          <cell r="D24">
            <v>251879</v>
          </cell>
          <cell r="E24">
            <v>33873</v>
          </cell>
          <cell r="F24">
            <v>28170</v>
          </cell>
          <cell r="G24">
            <v>26539</v>
          </cell>
          <cell r="H24">
            <v>25973</v>
          </cell>
          <cell r="I24">
            <v>22588</v>
          </cell>
          <cell r="J24">
            <v>22186</v>
          </cell>
          <cell r="K24">
            <v>25879</v>
          </cell>
          <cell r="L24">
            <v>21293</v>
          </cell>
          <cell r="M24">
            <v>22165</v>
          </cell>
          <cell r="N24">
            <v>23213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269983</v>
          </cell>
          <cell r="X24">
            <v>27736</v>
          </cell>
          <cell r="Y24">
            <v>26165</v>
          </cell>
          <cell r="Z24">
            <v>23013</v>
          </cell>
          <cell r="AA24">
            <v>22540</v>
          </cell>
          <cell r="AB24">
            <v>20041</v>
          </cell>
          <cell r="AC24">
            <v>23458</v>
          </cell>
          <cell r="AD24">
            <v>19333</v>
          </cell>
          <cell r="AE24">
            <v>15793</v>
          </cell>
          <cell r="AF24">
            <v>17967</v>
          </cell>
          <cell r="AG24">
            <v>22780</v>
          </cell>
          <cell r="AH24">
            <v>22523</v>
          </cell>
          <cell r="AI24">
            <v>28634</v>
          </cell>
        </row>
        <row r="25">
          <cell r="A25">
            <v>22</v>
          </cell>
          <cell r="B25" t="str">
            <v>Total Volume</v>
          </cell>
          <cell r="C25"/>
          <cell r="D25">
            <v>7470444</v>
          </cell>
          <cell r="E25">
            <v>1395805</v>
          </cell>
          <cell r="F25">
            <v>1424256</v>
          </cell>
          <cell r="G25">
            <v>1233599</v>
          </cell>
          <cell r="H25">
            <v>803921</v>
          </cell>
          <cell r="I25">
            <v>531993</v>
          </cell>
          <cell r="J25">
            <v>429409</v>
          </cell>
          <cell r="K25">
            <v>394169</v>
          </cell>
          <cell r="L25">
            <v>380773</v>
          </cell>
          <cell r="M25">
            <v>415453</v>
          </cell>
          <cell r="N25">
            <v>461066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V25"/>
          <cell r="W25">
            <v>8430843</v>
          </cell>
          <cell r="X25">
            <v>1245495</v>
          </cell>
          <cell r="Y25">
            <v>1185229</v>
          </cell>
          <cell r="Z25">
            <v>1016416</v>
          </cell>
          <cell r="AA25">
            <v>746796</v>
          </cell>
          <cell r="AB25">
            <v>614617</v>
          </cell>
          <cell r="AC25">
            <v>445323</v>
          </cell>
          <cell r="AD25">
            <v>373516</v>
          </cell>
          <cell r="AE25">
            <v>341276</v>
          </cell>
          <cell r="AF25">
            <v>400458</v>
          </cell>
          <cell r="AG25">
            <v>509260</v>
          </cell>
          <cell r="AH25">
            <v>597140</v>
          </cell>
          <cell r="AI25">
            <v>955317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62924</v>
          </cell>
          <cell r="F28">
            <v>63255</v>
          </cell>
          <cell r="G28">
            <v>63538</v>
          </cell>
          <cell r="H28">
            <v>63612</v>
          </cell>
          <cell r="I28">
            <v>63611</v>
          </cell>
          <cell r="J28">
            <v>63761</v>
          </cell>
          <cell r="K28">
            <v>64063</v>
          </cell>
          <cell r="L28">
            <v>64444</v>
          </cell>
          <cell r="M28">
            <v>64882</v>
          </cell>
          <cell r="N28">
            <v>65536</v>
          </cell>
          <cell r="O28">
            <v>66401</v>
          </cell>
          <cell r="P28">
            <v>67076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1308536</v>
          </cell>
          <cell r="F29">
            <v>1289265</v>
          </cell>
          <cell r="G29">
            <v>1101148</v>
          </cell>
          <cell r="H29">
            <v>773470</v>
          </cell>
          <cell r="I29">
            <v>538973</v>
          </cell>
          <cell r="J29">
            <v>382052</v>
          </cell>
          <cell r="K29">
            <v>360547</v>
          </cell>
          <cell r="L29">
            <v>371510</v>
          </cell>
          <cell r="M29">
            <v>412351</v>
          </cell>
          <cell r="N29">
            <v>495688</v>
          </cell>
          <cell r="O29">
            <v>737677</v>
          </cell>
          <cell r="P29">
            <v>1127530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1354334.76</v>
          </cell>
          <cell r="F30">
            <v>1334389.2749999999</v>
          </cell>
          <cell r="G30">
            <v>1139688.18</v>
          </cell>
          <cell r="H30">
            <v>800541.45</v>
          </cell>
          <cell r="I30">
            <v>557837.05499999993</v>
          </cell>
          <cell r="J30">
            <v>395423.81999999995</v>
          </cell>
          <cell r="K30">
            <v>373166.14499999996</v>
          </cell>
          <cell r="L30">
            <v>384512.85</v>
          </cell>
          <cell r="M30">
            <v>426783.28499999997</v>
          </cell>
          <cell r="N30">
            <v>513037.07999999996</v>
          </cell>
          <cell r="O30">
            <v>763495.69499999995</v>
          </cell>
          <cell r="P30">
            <v>1166993.5499999998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58413</v>
          </cell>
          <cell r="F34">
            <v>58538</v>
          </cell>
          <cell r="G34">
            <v>58679</v>
          </cell>
          <cell r="H34">
            <v>58833</v>
          </cell>
          <cell r="I34">
            <v>58945</v>
          </cell>
          <cell r="J34">
            <v>59055</v>
          </cell>
          <cell r="K34">
            <v>59163</v>
          </cell>
          <cell r="L34">
            <v>59287</v>
          </cell>
          <cell r="M34">
            <v>59415</v>
          </cell>
          <cell r="N34">
            <v>59556</v>
          </cell>
          <cell r="O34">
            <v>59736</v>
          </cell>
          <cell r="P34">
            <v>59736</v>
          </cell>
          <cell r="T34">
            <v>31</v>
          </cell>
          <cell r="U34" t="str">
            <v>Residential</v>
          </cell>
          <cell r="V34"/>
          <cell r="W34"/>
          <cell r="X34">
            <v>55404</v>
          </cell>
          <cell r="Y34">
            <v>55505</v>
          </cell>
          <cell r="Z34">
            <v>55601</v>
          </cell>
          <cell r="AA34">
            <v>55726</v>
          </cell>
          <cell r="AB34">
            <v>55841</v>
          </cell>
          <cell r="AC34">
            <v>55944</v>
          </cell>
          <cell r="AD34">
            <v>56034</v>
          </cell>
          <cell r="AE34">
            <v>56131</v>
          </cell>
          <cell r="AF34">
            <v>56234</v>
          </cell>
          <cell r="AG34">
            <v>56346</v>
          </cell>
          <cell r="AH34">
            <v>56470</v>
          </cell>
          <cell r="AI34">
            <v>56605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4268</v>
          </cell>
          <cell r="F35">
            <v>4267</v>
          </cell>
          <cell r="G35">
            <v>4274</v>
          </cell>
          <cell r="H35">
            <v>4271</v>
          </cell>
          <cell r="I35">
            <v>4262</v>
          </cell>
          <cell r="J35">
            <v>4250</v>
          </cell>
          <cell r="K35">
            <v>4240</v>
          </cell>
          <cell r="L35">
            <v>4229</v>
          </cell>
          <cell r="M35">
            <v>4219</v>
          </cell>
          <cell r="N35">
            <v>4212</v>
          </cell>
          <cell r="O35">
            <v>4208</v>
          </cell>
          <cell r="P35">
            <v>4208</v>
          </cell>
          <cell r="T35">
            <v>32</v>
          </cell>
          <cell r="U35" t="str">
            <v>Commercial</v>
          </cell>
          <cell r="V35"/>
          <cell r="W35"/>
          <cell r="X35">
            <v>4223</v>
          </cell>
          <cell r="Y35">
            <v>4227</v>
          </cell>
          <cell r="Z35">
            <v>4233</v>
          </cell>
          <cell r="AA35">
            <v>4228</v>
          </cell>
          <cell r="AB35">
            <v>4223</v>
          </cell>
          <cell r="AC35">
            <v>4217</v>
          </cell>
          <cell r="AD35">
            <v>4211</v>
          </cell>
          <cell r="AE35">
            <v>4206</v>
          </cell>
          <cell r="AF35">
            <v>4202</v>
          </cell>
          <cell r="AG35">
            <v>4199</v>
          </cell>
          <cell r="AH35">
            <v>4200</v>
          </cell>
          <cell r="AI35">
            <v>4204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97</v>
          </cell>
          <cell r="F36">
            <v>97</v>
          </cell>
          <cell r="G36">
            <v>97</v>
          </cell>
          <cell r="H36">
            <v>97</v>
          </cell>
          <cell r="I36">
            <v>97</v>
          </cell>
          <cell r="J36">
            <v>97</v>
          </cell>
          <cell r="K36">
            <v>97</v>
          </cell>
          <cell r="L36">
            <v>97</v>
          </cell>
          <cell r="M36">
            <v>97</v>
          </cell>
          <cell r="N36">
            <v>97</v>
          </cell>
          <cell r="O36">
            <v>97</v>
          </cell>
          <cell r="P36">
            <v>97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95</v>
          </cell>
          <cell r="Y36">
            <v>95</v>
          </cell>
          <cell r="Z36">
            <v>95</v>
          </cell>
          <cell r="AA36">
            <v>95</v>
          </cell>
          <cell r="AB36">
            <v>95</v>
          </cell>
          <cell r="AC36">
            <v>95</v>
          </cell>
          <cell r="AD36">
            <v>95</v>
          </cell>
          <cell r="AE36">
            <v>95</v>
          </cell>
          <cell r="AF36">
            <v>94</v>
          </cell>
          <cell r="AG36">
            <v>95</v>
          </cell>
          <cell r="AH36">
            <v>95</v>
          </cell>
          <cell r="AI36">
            <v>95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6</v>
          </cell>
          <cell r="F37">
            <v>6</v>
          </cell>
          <cell r="G37">
            <v>6</v>
          </cell>
          <cell r="H37">
            <v>6</v>
          </cell>
          <cell r="I37">
            <v>6</v>
          </cell>
          <cell r="J37">
            <v>6</v>
          </cell>
          <cell r="K37">
            <v>6</v>
          </cell>
          <cell r="L37">
            <v>6</v>
          </cell>
          <cell r="M37">
            <v>6</v>
          </cell>
          <cell r="N37">
            <v>6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V37"/>
          <cell r="W37"/>
          <cell r="X37">
            <v>21</v>
          </cell>
          <cell r="Y37">
            <v>18</v>
          </cell>
          <cell r="Z37">
            <v>18</v>
          </cell>
          <cell r="AA37">
            <v>16</v>
          </cell>
          <cell r="AB37">
            <v>15</v>
          </cell>
          <cell r="AC37">
            <v>17</v>
          </cell>
          <cell r="AD37">
            <v>17</v>
          </cell>
          <cell r="AE37">
            <v>17</v>
          </cell>
          <cell r="AF37">
            <v>18</v>
          </cell>
          <cell r="AG37">
            <v>18</v>
          </cell>
          <cell r="AH37">
            <v>17</v>
          </cell>
          <cell r="AI37">
            <v>16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62784</v>
          </cell>
          <cell r="F38">
            <v>62908</v>
          </cell>
          <cell r="G38">
            <v>63056</v>
          </cell>
          <cell r="H38">
            <v>63207</v>
          </cell>
          <cell r="I38">
            <v>63310</v>
          </cell>
          <cell r="J38">
            <v>63408</v>
          </cell>
          <cell r="K38">
            <v>63506</v>
          </cell>
          <cell r="L38">
            <v>63619</v>
          </cell>
          <cell r="M38">
            <v>63737</v>
          </cell>
          <cell r="N38">
            <v>63871</v>
          </cell>
          <cell r="O38">
            <v>64046</v>
          </cell>
          <cell r="P38">
            <v>64046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59743</v>
          </cell>
          <cell r="Y38">
            <v>59845</v>
          </cell>
          <cell r="Z38">
            <v>59947</v>
          </cell>
          <cell r="AA38">
            <v>60065</v>
          </cell>
          <cell r="AB38">
            <v>60174</v>
          </cell>
          <cell r="AC38">
            <v>60273</v>
          </cell>
          <cell r="AD38">
            <v>60357</v>
          </cell>
          <cell r="AE38">
            <v>60449</v>
          </cell>
          <cell r="AF38">
            <v>60548</v>
          </cell>
          <cell r="AG38">
            <v>60658</v>
          </cell>
          <cell r="AH38">
            <v>60782</v>
          </cell>
          <cell r="AI38">
            <v>60920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636082</v>
          </cell>
          <cell r="F41">
            <v>1315476</v>
          </cell>
          <cell r="G41">
            <v>1882090</v>
          </cell>
          <cell r="H41">
            <v>2172229</v>
          </cell>
          <cell r="I41">
            <v>2321930</v>
          </cell>
          <cell r="J41">
            <v>2400379</v>
          </cell>
          <cell r="K41">
            <v>2456903</v>
          </cell>
          <cell r="L41">
            <v>2507816</v>
          </cell>
          <cell r="M41">
            <v>2558231</v>
          </cell>
          <cell r="N41">
            <v>2617316</v>
          </cell>
          <cell r="O41">
            <v>2824452</v>
          </cell>
          <cell r="P41">
            <v>2824452</v>
          </cell>
          <cell r="T41">
            <v>38</v>
          </cell>
          <cell r="U41" t="str">
            <v>Residential</v>
          </cell>
          <cell r="W41"/>
          <cell r="X41">
            <v>542160</v>
          </cell>
          <cell r="Y41">
            <v>1055449</v>
          </cell>
          <cell r="Z41">
            <v>1479804</v>
          </cell>
          <cell r="AA41">
            <v>1752677</v>
          </cell>
          <cell r="AB41">
            <v>1970524</v>
          </cell>
          <cell r="AC41">
            <v>2060183</v>
          </cell>
          <cell r="AD41">
            <v>2113951</v>
          </cell>
          <cell r="AE41">
            <v>2163576</v>
          </cell>
          <cell r="AF41">
            <v>2211951</v>
          </cell>
          <cell r="AG41">
            <v>2280026</v>
          </cell>
          <cell r="AH41">
            <v>2451640</v>
          </cell>
          <cell r="AI41">
            <v>2809694</v>
          </cell>
        </row>
        <row r="42">
          <cell r="A42">
            <v>39</v>
          </cell>
          <cell r="B42" t="str">
            <v>Commercial</v>
          </cell>
          <cell r="D42"/>
          <cell r="E42">
            <v>390870</v>
          </cell>
          <cell r="F42">
            <v>800172</v>
          </cell>
          <cell r="G42">
            <v>1129490</v>
          </cell>
          <cell r="H42">
            <v>1331531</v>
          </cell>
          <cell r="I42">
            <v>1450231</v>
          </cell>
          <cell r="J42">
            <v>1548962</v>
          </cell>
          <cell r="K42">
            <v>1640631</v>
          </cell>
          <cell r="L42">
            <v>1729279</v>
          </cell>
          <cell r="M42">
            <v>1820753</v>
          </cell>
          <cell r="N42">
            <v>1932170</v>
          </cell>
          <cell r="O42">
            <v>2109091</v>
          </cell>
          <cell r="P42">
            <v>2109091</v>
          </cell>
          <cell r="T42">
            <v>39</v>
          </cell>
          <cell r="U42" t="str">
            <v>Commercial</v>
          </cell>
          <cell r="W42"/>
          <cell r="X42">
            <v>347748</v>
          </cell>
          <cell r="Y42">
            <v>681585</v>
          </cell>
          <cell r="Z42">
            <v>951500</v>
          </cell>
          <cell r="AA42">
            <v>1140949</v>
          </cell>
          <cell r="AB42">
            <v>1278896</v>
          </cell>
          <cell r="AC42">
            <v>1377014</v>
          </cell>
          <cell r="AD42">
            <v>1459667</v>
          </cell>
          <cell r="AE42">
            <v>1537709</v>
          </cell>
          <cell r="AF42">
            <v>1626610</v>
          </cell>
          <cell r="AG42">
            <v>1741778</v>
          </cell>
          <cell r="AH42">
            <v>1902060</v>
          </cell>
          <cell r="AI42">
            <v>2171122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286368</v>
          </cell>
          <cell r="F43">
            <v>545629</v>
          </cell>
          <cell r="G43">
            <v>813158</v>
          </cell>
          <cell r="H43">
            <v>1071905</v>
          </cell>
          <cell r="I43">
            <v>1295051</v>
          </cell>
          <cell r="J43">
            <v>1510818</v>
          </cell>
          <cell r="K43">
            <v>1718274</v>
          </cell>
          <cell r="L43">
            <v>1925933</v>
          </cell>
          <cell r="M43">
            <v>2164779</v>
          </cell>
          <cell r="N43">
            <v>2416688</v>
          </cell>
          <cell r="O43">
            <v>2651395</v>
          </cell>
          <cell r="P43">
            <v>2651395</v>
          </cell>
          <cell r="T43">
            <v>40</v>
          </cell>
          <cell r="U43" t="str">
            <v xml:space="preserve">Industrial </v>
          </cell>
          <cell r="W43"/>
          <cell r="X43">
            <v>284932</v>
          </cell>
          <cell r="Y43">
            <v>554322</v>
          </cell>
          <cell r="Z43">
            <v>817493</v>
          </cell>
          <cell r="AA43">
            <v>1052441</v>
          </cell>
          <cell r="AB43">
            <v>1269739</v>
          </cell>
          <cell r="AC43">
            <v>1489105</v>
          </cell>
          <cell r="AD43">
            <v>1695251</v>
          </cell>
          <cell r="AE43">
            <v>1882451</v>
          </cell>
          <cell r="AF43">
            <v>2113585</v>
          </cell>
          <cell r="AG43">
            <v>2400756</v>
          </cell>
          <cell r="AH43">
            <v>2622682</v>
          </cell>
          <cell r="AI43">
            <v>2887403</v>
          </cell>
        </row>
        <row r="44">
          <cell r="A44">
            <v>41</v>
          </cell>
          <cell r="B44" t="str">
            <v>Other</v>
          </cell>
          <cell r="D44"/>
          <cell r="E44">
            <v>32664</v>
          </cell>
          <cell r="F44">
            <v>59863</v>
          </cell>
          <cell r="G44">
            <v>85443</v>
          </cell>
          <cell r="H44">
            <v>110514</v>
          </cell>
          <cell r="I44">
            <v>132310</v>
          </cell>
          <cell r="J44">
            <v>153718</v>
          </cell>
          <cell r="K44">
            <v>178709</v>
          </cell>
          <cell r="L44">
            <v>199276</v>
          </cell>
          <cell r="M44">
            <v>220734</v>
          </cell>
          <cell r="N44">
            <v>243128</v>
          </cell>
          <cell r="O44">
            <v>269040</v>
          </cell>
          <cell r="P44">
            <v>269040</v>
          </cell>
          <cell r="T44">
            <v>41</v>
          </cell>
          <cell r="U44" t="str">
            <v>Other</v>
          </cell>
          <cell r="W44"/>
          <cell r="X44">
            <v>26758</v>
          </cell>
          <cell r="Y44">
            <v>51963</v>
          </cell>
          <cell r="Z44">
            <v>74143</v>
          </cell>
          <cell r="AA44">
            <v>95843</v>
          </cell>
          <cell r="AB44">
            <v>115160</v>
          </cell>
          <cell r="AC44">
            <v>137799</v>
          </cell>
          <cell r="AD44">
            <v>156498</v>
          </cell>
          <cell r="AE44">
            <v>171776</v>
          </cell>
          <cell r="AF44">
            <v>189082</v>
          </cell>
          <cell r="AG44">
            <v>211110</v>
          </cell>
          <cell r="AH44">
            <v>232818</v>
          </cell>
          <cell r="AI44">
            <v>260375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1345984</v>
          </cell>
          <cell r="F45">
            <v>2721140</v>
          </cell>
          <cell r="G45">
            <v>3910181</v>
          </cell>
          <cell r="H45">
            <v>4686179</v>
          </cell>
          <cell r="I45">
            <v>5199522</v>
          </cell>
          <cell r="J45">
            <v>5613877</v>
          </cell>
          <cell r="K45">
            <v>5994517</v>
          </cell>
          <cell r="L45">
            <v>6362304</v>
          </cell>
          <cell r="M45">
            <v>6764497</v>
          </cell>
          <cell r="N45">
            <v>7209302</v>
          </cell>
          <cell r="O45">
            <v>7853978</v>
          </cell>
          <cell r="P45">
            <v>7853978</v>
          </cell>
          <cell r="T45">
            <v>42</v>
          </cell>
          <cell r="U45" t="str">
            <v>Total Volume</v>
          </cell>
          <cell r="V45"/>
          <cell r="W45"/>
          <cell r="X45">
            <v>1201598</v>
          </cell>
          <cell r="Y45">
            <v>2343319</v>
          </cell>
          <cell r="Z45">
            <v>3322940</v>
          </cell>
          <cell r="AA45">
            <v>4041910</v>
          </cell>
          <cell r="AB45">
            <v>4634319</v>
          </cell>
          <cell r="AC45">
            <v>5064101</v>
          </cell>
          <cell r="AD45">
            <v>5425367</v>
          </cell>
          <cell r="AE45">
            <v>5755512</v>
          </cell>
          <cell r="AF45">
            <v>6141228</v>
          </cell>
          <cell r="AG45">
            <v>6633670</v>
          </cell>
          <cell r="AH45">
            <v>7209200</v>
          </cell>
          <cell r="AI45">
            <v>8128594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659626</v>
          </cell>
          <cell r="F48">
            <v>1363278</v>
          </cell>
          <cell r="G48">
            <v>1951125</v>
          </cell>
          <cell r="H48">
            <v>2251704</v>
          </cell>
          <cell r="I48">
            <v>2406844</v>
          </cell>
          <cell r="J48">
            <v>2488143</v>
          </cell>
          <cell r="K48">
            <v>2546676</v>
          </cell>
          <cell r="L48">
            <v>2599387</v>
          </cell>
          <cell r="M48">
            <v>2651464</v>
          </cell>
          <cell r="N48">
            <v>2712709</v>
          </cell>
          <cell r="O48">
            <v>2712709</v>
          </cell>
          <cell r="P48">
            <v>2712709</v>
          </cell>
          <cell r="T48">
            <v>45</v>
          </cell>
          <cell r="U48" t="str">
            <v>Residential</v>
          </cell>
          <cell r="W48">
            <v>23747488</v>
          </cell>
          <cell r="X48">
            <v>561966</v>
          </cell>
          <cell r="Y48">
            <v>1094815</v>
          </cell>
          <cell r="Z48">
            <v>1535109</v>
          </cell>
          <cell r="AA48">
            <v>1818543</v>
          </cell>
          <cell r="AB48">
            <v>2044557</v>
          </cell>
          <cell r="AC48">
            <v>2137458</v>
          </cell>
          <cell r="AD48">
            <v>2193049</v>
          </cell>
          <cell r="AE48">
            <v>2244347</v>
          </cell>
          <cell r="AF48">
            <v>2294571</v>
          </cell>
          <cell r="AG48">
            <v>2364971</v>
          </cell>
          <cell r="AH48">
            <v>2543029</v>
          </cell>
          <cell r="AI48">
            <v>2915073</v>
          </cell>
        </row>
        <row r="49">
          <cell r="A49">
            <v>46</v>
          </cell>
          <cell r="B49" t="str">
            <v>Commercial</v>
          </cell>
          <cell r="D49"/>
          <cell r="E49">
            <v>405338</v>
          </cell>
          <cell r="F49">
            <v>829254</v>
          </cell>
          <cell r="G49">
            <v>1170913</v>
          </cell>
          <cell r="H49">
            <v>1380224</v>
          </cell>
          <cell r="I49">
            <v>1503236</v>
          </cell>
          <cell r="J49">
            <v>1605554</v>
          </cell>
          <cell r="K49">
            <v>1700481</v>
          </cell>
          <cell r="L49">
            <v>1792259</v>
          </cell>
          <cell r="M49">
            <v>1886749</v>
          </cell>
          <cell r="N49">
            <v>2002239</v>
          </cell>
          <cell r="O49">
            <v>2002239</v>
          </cell>
          <cell r="P49">
            <v>2002239</v>
          </cell>
          <cell r="T49">
            <v>46</v>
          </cell>
          <cell r="U49" t="str">
            <v>Commercial</v>
          </cell>
          <cell r="W49">
            <v>16820513</v>
          </cell>
          <cell r="X49">
            <v>360452</v>
          </cell>
          <cell r="Y49">
            <v>707011</v>
          </cell>
          <cell r="Z49">
            <v>987064</v>
          </cell>
          <cell r="AA49">
            <v>1183845</v>
          </cell>
          <cell r="AB49">
            <v>1326963</v>
          </cell>
          <cell r="AC49">
            <v>1428629</v>
          </cell>
          <cell r="AD49">
            <v>1514085</v>
          </cell>
          <cell r="AE49">
            <v>1594758</v>
          </cell>
          <cell r="AF49">
            <v>1687057</v>
          </cell>
          <cell r="AG49">
            <v>1806158</v>
          </cell>
          <cell r="AH49">
            <v>1972458</v>
          </cell>
          <cell r="AI49">
            <v>2252033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296968</v>
          </cell>
          <cell r="F50">
            <v>565486</v>
          </cell>
          <cell r="G50">
            <v>843040</v>
          </cell>
          <cell r="H50">
            <v>1111098</v>
          </cell>
          <cell r="I50">
            <v>1342351</v>
          </cell>
          <cell r="J50">
            <v>1565957</v>
          </cell>
          <cell r="K50">
            <v>1780787</v>
          </cell>
          <cell r="L50">
            <v>1995778</v>
          </cell>
          <cell r="M50">
            <v>2242499</v>
          </cell>
          <cell r="N50">
            <v>2503617</v>
          </cell>
          <cell r="O50">
            <v>2503617</v>
          </cell>
          <cell r="P50">
            <v>2503617</v>
          </cell>
          <cell r="T50">
            <v>47</v>
          </cell>
          <cell r="U50" t="str">
            <v xml:space="preserve">Industrial </v>
          </cell>
          <cell r="W50">
            <v>19774642</v>
          </cell>
          <cell r="X50">
            <v>295341</v>
          </cell>
          <cell r="Y50">
            <v>574997</v>
          </cell>
          <cell r="Z50">
            <v>848053</v>
          </cell>
          <cell r="AA50">
            <v>1092094</v>
          </cell>
          <cell r="AB50">
            <v>1317538</v>
          </cell>
          <cell r="AC50">
            <v>1544836</v>
          </cell>
          <cell r="AD50">
            <v>1757972</v>
          </cell>
          <cell r="AE50">
            <v>1951484</v>
          </cell>
          <cell r="AF50">
            <v>2191452</v>
          </cell>
          <cell r="AG50">
            <v>2488431</v>
          </cell>
          <cell r="AH50">
            <v>2718690</v>
          </cell>
          <cell r="AI50">
            <v>2993754</v>
          </cell>
        </row>
        <row r="51">
          <cell r="A51">
            <v>48</v>
          </cell>
          <cell r="B51" t="str">
            <v>Other</v>
          </cell>
          <cell r="D51"/>
          <cell r="E51">
            <v>33873</v>
          </cell>
          <cell r="F51">
            <v>62043</v>
          </cell>
          <cell r="G51">
            <v>88582</v>
          </cell>
          <cell r="H51">
            <v>114555</v>
          </cell>
          <cell r="I51">
            <v>137143</v>
          </cell>
          <cell r="J51">
            <v>159329</v>
          </cell>
          <cell r="K51">
            <v>185208</v>
          </cell>
          <cell r="L51">
            <v>206501</v>
          </cell>
          <cell r="M51">
            <v>228666</v>
          </cell>
          <cell r="N51">
            <v>251879</v>
          </cell>
          <cell r="O51">
            <v>251879</v>
          </cell>
          <cell r="P51">
            <v>251879</v>
          </cell>
          <cell r="T51">
            <v>48</v>
          </cell>
          <cell r="U51" t="str">
            <v>Other</v>
          </cell>
          <cell r="W51">
            <v>1787022</v>
          </cell>
          <cell r="X51">
            <v>27736</v>
          </cell>
          <cell r="Y51">
            <v>53901</v>
          </cell>
          <cell r="Z51">
            <v>76914</v>
          </cell>
          <cell r="AA51">
            <v>99454</v>
          </cell>
          <cell r="AB51">
            <v>119495</v>
          </cell>
          <cell r="AC51">
            <v>142953</v>
          </cell>
          <cell r="AD51">
            <v>162286</v>
          </cell>
          <cell r="AE51">
            <v>178079</v>
          </cell>
          <cell r="AF51">
            <v>196046</v>
          </cell>
          <cell r="AG51">
            <v>218826</v>
          </cell>
          <cell r="AH51">
            <v>241349</v>
          </cell>
          <cell r="AI51">
            <v>269983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1395805</v>
          </cell>
          <cell r="F52">
            <v>2820061</v>
          </cell>
          <cell r="G52">
            <v>4053660</v>
          </cell>
          <cell r="H52">
            <v>4857581</v>
          </cell>
          <cell r="I52">
            <v>5389574</v>
          </cell>
          <cell r="J52">
            <v>5818983</v>
          </cell>
          <cell r="K52">
            <v>6213152</v>
          </cell>
          <cell r="L52">
            <v>6593925</v>
          </cell>
          <cell r="M52">
            <v>7009378</v>
          </cell>
          <cell r="N52">
            <v>7470444</v>
          </cell>
          <cell r="O52">
            <v>7470444</v>
          </cell>
          <cell r="P52">
            <v>7470444</v>
          </cell>
          <cell r="T52">
            <v>49</v>
          </cell>
          <cell r="U52" t="str">
            <v>Total Volume</v>
          </cell>
          <cell r="V52"/>
          <cell r="W52">
            <v>62129665</v>
          </cell>
          <cell r="X52">
            <v>1245495</v>
          </cell>
          <cell r="Y52">
            <v>2430724</v>
          </cell>
          <cell r="Z52">
            <v>3447140</v>
          </cell>
          <cell r="AA52">
            <v>4193936</v>
          </cell>
          <cell r="AB52">
            <v>4808553</v>
          </cell>
          <cell r="AC52">
            <v>5253876</v>
          </cell>
          <cell r="AD52">
            <v>5627392</v>
          </cell>
          <cell r="AE52">
            <v>5968668</v>
          </cell>
          <cell r="AF52">
            <v>6369126</v>
          </cell>
          <cell r="AG52">
            <v>6878386</v>
          </cell>
          <cell r="AH52">
            <v>7475526</v>
          </cell>
          <cell r="AI52">
            <v>8430843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62924</v>
          </cell>
          <cell r="F55">
            <v>63090</v>
          </cell>
          <cell r="G55">
            <v>63239</v>
          </cell>
          <cell r="H55">
            <v>63332</v>
          </cell>
          <cell r="I55">
            <v>63388</v>
          </cell>
          <cell r="J55">
            <v>63450</v>
          </cell>
          <cell r="K55">
            <v>63538</v>
          </cell>
          <cell r="L55">
            <v>63651</v>
          </cell>
          <cell r="M55">
            <v>63788</v>
          </cell>
          <cell r="N55">
            <v>63963</v>
          </cell>
          <cell r="O55">
            <v>64184</v>
          </cell>
          <cell r="P55">
            <v>64425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1308536</v>
          </cell>
          <cell r="F56">
            <v>2597801</v>
          </cell>
          <cell r="G56">
            <v>3698949</v>
          </cell>
          <cell r="H56">
            <v>4472419</v>
          </cell>
          <cell r="I56">
            <v>5011392</v>
          </cell>
          <cell r="J56">
            <v>5393444</v>
          </cell>
          <cell r="K56">
            <v>5753991</v>
          </cell>
          <cell r="L56">
            <v>6125501</v>
          </cell>
          <cell r="M56">
            <v>6537852</v>
          </cell>
          <cell r="N56">
            <v>7033540</v>
          </cell>
          <cell r="O56">
            <v>7771217</v>
          </cell>
          <cell r="P56">
            <v>8898747</v>
          </cell>
        </row>
        <row r="57">
          <cell r="A57">
            <v>54</v>
          </cell>
          <cell r="B57" t="str">
            <v>Cumulative YTD Budget Volume (Dts) * 1.035</v>
          </cell>
          <cell r="E57">
            <v>1354334.76</v>
          </cell>
          <cell r="F57">
            <v>2688724.0350000001</v>
          </cell>
          <cell r="G57">
            <v>3828412.2149999999</v>
          </cell>
          <cell r="H57">
            <v>4628953.665</v>
          </cell>
          <cell r="I57">
            <v>5186790.72</v>
          </cell>
          <cell r="J57">
            <v>5582214.54</v>
          </cell>
          <cell r="K57">
            <v>5955380.6849999996</v>
          </cell>
          <cell r="L57">
            <v>6339893.5349999992</v>
          </cell>
          <cell r="M57">
            <v>6766676.8199999994</v>
          </cell>
          <cell r="N57">
            <v>7279713.8999999994</v>
          </cell>
          <cell r="O57">
            <v>8043209.5949999997</v>
          </cell>
          <cell r="P57">
            <v>9210203.1449999996</v>
          </cell>
        </row>
      </sheetData>
      <sheetData sheetId="11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11493.272727272728</v>
          </cell>
          <cell r="E5">
            <v>11654</v>
          </cell>
          <cell r="F5">
            <v>11667</v>
          </cell>
          <cell r="G5">
            <v>11700</v>
          </cell>
          <cell r="H5">
            <v>11691</v>
          </cell>
          <cell r="I5">
            <v>11615</v>
          </cell>
          <cell r="J5">
            <v>11402</v>
          </cell>
          <cell r="K5">
            <v>11378</v>
          </cell>
          <cell r="L5">
            <v>11337</v>
          </cell>
          <cell r="M5">
            <v>11276</v>
          </cell>
          <cell r="N5">
            <v>11293</v>
          </cell>
          <cell r="O5">
            <v>11413</v>
          </cell>
          <cell r="P5"/>
          <cell r="T5">
            <v>2</v>
          </cell>
          <cell r="U5" t="str">
            <v>Residential</v>
          </cell>
          <cell r="V5">
            <v>12521</v>
          </cell>
          <cell r="W5">
            <v>137732</v>
          </cell>
          <cell r="X5">
            <v>11444</v>
          </cell>
          <cell r="Y5">
            <v>11489</v>
          </cell>
          <cell r="Z5">
            <v>11487</v>
          </cell>
          <cell r="AA5">
            <v>11467</v>
          </cell>
          <cell r="AB5">
            <v>11458</v>
          </cell>
          <cell r="AC5">
            <v>11454</v>
          </cell>
          <cell r="AD5">
            <v>11439</v>
          </cell>
          <cell r="AE5">
            <v>11427</v>
          </cell>
          <cell r="AF5">
            <v>11462</v>
          </cell>
          <cell r="AG5">
            <v>11483</v>
          </cell>
          <cell r="AH5">
            <v>11523</v>
          </cell>
          <cell r="AI5">
            <v>11599</v>
          </cell>
        </row>
        <row r="6">
          <cell r="A6">
            <v>3</v>
          </cell>
          <cell r="B6" t="str">
            <v>Commercial</v>
          </cell>
          <cell r="C6"/>
          <cell r="D6">
            <v>1947.2727272727273</v>
          </cell>
          <cell r="E6">
            <v>1941</v>
          </cell>
          <cell r="F6">
            <v>1946</v>
          </cell>
          <cell r="G6">
            <v>1963</v>
          </cell>
          <cell r="H6">
            <v>1958</v>
          </cell>
          <cell r="I6">
            <v>1953</v>
          </cell>
          <cell r="J6">
            <v>1946</v>
          </cell>
          <cell r="K6">
            <v>1945</v>
          </cell>
          <cell r="L6">
            <v>1939</v>
          </cell>
          <cell r="M6">
            <v>1939</v>
          </cell>
          <cell r="N6">
            <v>1941</v>
          </cell>
          <cell r="O6">
            <v>1949</v>
          </cell>
          <cell r="P6"/>
          <cell r="T6">
            <v>3</v>
          </cell>
          <cell r="U6" t="str">
            <v>Commercial</v>
          </cell>
          <cell r="V6">
            <v>2101</v>
          </cell>
          <cell r="W6">
            <v>23106</v>
          </cell>
          <cell r="X6">
            <v>1928</v>
          </cell>
          <cell r="Y6">
            <v>1933</v>
          </cell>
          <cell r="Z6">
            <v>1933</v>
          </cell>
          <cell r="AA6">
            <v>1933</v>
          </cell>
          <cell r="AB6">
            <v>1928</v>
          </cell>
          <cell r="AC6">
            <v>1923</v>
          </cell>
          <cell r="AD6">
            <v>1915</v>
          </cell>
          <cell r="AE6">
            <v>1912</v>
          </cell>
          <cell r="AF6">
            <v>1914</v>
          </cell>
          <cell r="AG6">
            <v>1917</v>
          </cell>
          <cell r="AH6">
            <v>1931</v>
          </cell>
          <cell r="AI6">
            <v>1939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46.454545454545453</v>
          </cell>
          <cell r="E7">
            <v>46</v>
          </cell>
          <cell r="F7">
            <v>46</v>
          </cell>
          <cell r="G7">
            <v>46</v>
          </cell>
          <cell r="H7">
            <v>46</v>
          </cell>
          <cell r="I7">
            <v>46</v>
          </cell>
          <cell r="J7">
            <v>46</v>
          </cell>
          <cell r="K7">
            <v>46</v>
          </cell>
          <cell r="L7">
            <v>46</v>
          </cell>
          <cell r="M7">
            <v>47</v>
          </cell>
          <cell r="N7">
            <v>48</v>
          </cell>
          <cell r="O7">
            <v>48</v>
          </cell>
          <cell r="P7"/>
          <cell r="T7">
            <v>4</v>
          </cell>
          <cell r="U7" t="str">
            <v xml:space="preserve">Industrial </v>
          </cell>
          <cell r="V7">
            <v>50</v>
          </cell>
          <cell r="W7">
            <v>545</v>
          </cell>
          <cell r="X7">
            <v>47</v>
          </cell>
          <cell r="Y7">
            <v>45</v>
          </cell>
          <cell r="Z7">
            <v>45</v>
          </cell>
          <cell r="AA7">
            <v>45</v>
          </cell>
          <cell r="AB7">
            <v>45</v>
          </cell>
          <cell r="AC7">
            <v>45</v>
          </cell>
          <cell r="AD7">
            <v>45</v>
          </cell>
          <cell r="AE7">
            <v>45</v>
          </cell>
          <cell r="AF7">
            <v>45</v>
          </cell>
          <cell r="AG7">
            <v>46</v>
          </cell>
          <cell r="AH7">
            <v>46</v>
          </cell>
          <cell r="AI7">
            <v>46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/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/>
          <cell r="AG8">
            <v>0</v>
          </cell>
          <cell r="AH8">
            <v>0</v>
          </cell>
          <cell r="AI8"/>
        </row>
        <row r="9">
          <cell r="A9">
            <v>6</v>
          </cell>
          <cell r="B9" t="str">
            <v>Total customers</v>
          </cell>
          <cell r="C9"/>
          <cell r="D9">
            <v>13487.000000000002</v>
          </cell>
          <cell r="E9">
            <v>13641</v>
          </cell>
          <cell r="F9">
            <v>13659</v>
          </cell>
          <cell r="G9">
            <v>13709</v>
          </cell>
          <cell r="H9">
            <v>13695</v>
          </cell>
          <cell r="I9">
            <v>13614</v>
          </cell>
          <cell r="J9">
            <v>13394</v>
          </cell>
          <cell r="K9">
            <v>13369</v>
          </cell>
          <cell r="L9">
            <v>13322</v>
          </cell>
          <cell r="M9">
            <v>13262</v>
          </cell>
          <cell r="N9">
            <v>13282</v>
          </cell>
          <cell r="O9">
            <v>13410</v>
          </cell>
          <cell r="P9">
            <v>0</v>
          </cell>
          <cell r="T9">
            <v>6</v>
          </cell>
          <cell r="U9" t="str">
            <v>Total customers</v>
          </cell>
          <cell r="V9">
            <v>14672</v>
          </cell>
          <cell r="W9">
            <v>161383</v>
          </cell>
          <cell r="X9">
            <v>13419</v>
          </cell>
          <cell r="Y9">
            <v>13467</v>
          </cell>
          <cell r="Z9">
            <v>13465</v>
          </cell>
          <cell r="AA9">
            <v>13445</v>
          </cell>
          <cell r="AB9">
            <v>13431</v>
          </cell>
          <cell r="AC9">
            <v>13422</v>
          </cell>
          <cell r="AD9">
            <v>13399</v>
          </cell>
          <cell r="AE9">
            <v>13384</v>
          </cell>
          <cell r="AF9">
            <v>13421</v>
          </cell>
          <cell r="AG9">
            <v>13446</v>
          </cell>
          <cell r="AH9">
            <v>13500</v>
          </cell>
          <cell r="AI9">
            <v>13584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- 2021 (Mcfs)</v>
          </cell>
          <cell r="C11" t="str">
            <v>Total</v>
          </cell>
          <cell r="D11"/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476754</v>
          </cell>
          <cell r="D12"/>
          <cell r="E12">
            <v>106254</v>
          </cell>
          <cell r="F12">
            <v>112108</v>
          </cell>
          <cell r="G12">
            <v>99031</v>
          </cell>
          <cell r="H12">
            <v>47798</v>
          </cell>
          <cell r="I12">
            <v>24997</v>
          </cell>
          <cell r="J12">
            <v>24997</v>
          </cell>
          <cell r="K12">
            <v>8692</v>
          </cell>
          <cell r="L12">
            <v>8375</v>
          </cell>
          <cell r="M12">
            <v>8148</v>
          </cell>
          <cell r="N12">
            <v>10108</v>
          </cell>
          <cell r="O12">
            <v>26246</v>
          </cell>
          <cell r="P12"/>
          <cell r="T12">
            <v>9</v>
          </cell>
          <cell r="U12" t="str">
            <v>Residential</v>
          </cell>
          <cell r="W12">
            <v>461295</v>
          </cell>
          <cell r="X12">
            <v>87627</v>
          </cell>
          <cell r="Y12">
            <v>86331</v>
          </cell>
          <cell r="Z12">
            <v>74257</v>
          </cell>
          <cell r="AA12">
            <v>45942</v>
          </cell>
          <cell r="AB12">
            <v>30570</v>
          </cell>
          <cell r="AC12">
            <v>15363</v>
          </cell>
          <cell r="AD12">
            <v>9369</v>
          </cell>
          <cell r="AE12">
            <v>8423</v>
          </cell>
          <cell r="AF12">
            <v>8862</v>
          </cell>
          <cell r="AG12">
            <v>8862</v>
          </cell>
          <cell r="AH12">
            <v>26469</v>
          </cell>
          <cell r="AI12">
            <v>59220</v>
          </cell>
        </row>
        <row r="13">
          <cell r="A13">
            <v>10</v>
          </cell>
          <cell r="B13" t="str">
            <v>Commercial</v>
          </cell>
          <cell r="C13">
            <v>965498</v>
          </cell>
          <cell r="D13"/>
          <cell r="E13">
            <v>152099</v>
          </cell>
          <cell r="F13">
            <v>172499</v>
          </cell>
          <cell r="G13">
            <v>144428</v>
          </cell>
          <cell r="H13">
            <v>91694</v>
          </cell>
          <cell r="I13">
            <v>61022</v>
          </cell>
          <cell r="J13">
            <v>61022</v>
          </cell>
          <cell r="K13">
            <v>50601</v>
          </cell>
          <cell r="L13">
            <v>48465</v>
          </cell>
          <cell r="M13">
            <v>53220</v>
          </cell>
          <cell r="N13">
            <v>51901</v>
          </cell>
          <cell r="O13">
            <v>78547</v>
          </cell>
          <cell r="P13"/>
          <cell r="T13">
            <v>10</v>
          </cell>
          <cell r="U13" t="str">
            <v>Commercial</v>
          </cell>
          <cell r="W13">
            <v>1016817</v>
          </cell>
          <cell r="X13">
            <v>201878</v>
          </cell>
          <cell r="Y13">
            <v>128142</v>
          </cell>
          <cell r="Z13">
            <v>111807</v>
          </cell>
          <cell r="AA13">
            <v>78298</v>
          </cell>
          <cell r="AB13">
            <v>58538</v>
          </cell>
          <cell r="AC13">
            <v>46509</v>
          </cell>
          <cell r="AD13">
            <v>49098</v>
          </cell>
          <cell r="AE13">
            <v>45211</v>
          </cell>
          <cell r="AF13">
            <v>49952</v>
          </cell>
          <cell r="AG13">
            <v>49952</v>
          </cell>
          <cell r="AH13">
            <v>72285</v>
          </cell>
          <cell r="AI13">
            <v>125147</v>
          </cell>
        </row>
        <row r="14">
          <cell r="A14">
            <v>11</v>
          </cell>
          <cell r="B14" t="str">
            <v xml:space="preserve">Industrial </v>
          </cell>
          <cell r="C14">
            <v>1714147</v>
          </cell>
          <cell r="D14"/>
          <cell r="E14">
            <v>155334</v>
          </cell>
          <cell r="F14">
            <v>165314</v>
          </cell>
          <cell r="G14">
            <v>177537</v>
          </cell>
          <cell r="H14">
            <v>165832</v>
          </cell>
          <cell r="I14">
            <v>143050</v>
          </cell>
          <cell r="J14">
            <v>143050</v>
          </cell>
          <cell r="K14">
            <v>140705</v>
          </cell>
          <cell r="L14">
            <v>133089</v>
          </cell>
          <cell r="M14">
            <v>155459</v>
          </cell>
          <cell r="N14">
            <v>157921</v>
          </cell>
          <cell r="O14">
            <v>176856</v>
          </cell>
          <cell r="P14"/>
          <cell r="T14">
            <v>11</v>
          </cell>
          <cell r="U14" t="str">
            <v xml:space="preserve">Industrial </v>
          </cell>
          <cell r="W14">
            <v>1701965</v>
          </cell>
          <cell r="X14">
            <v>104938</v>
          </cell>
          <cell r="Y14">
            <v>143526</v>
          </cell>
          <cell r="Z14">
            <v>150583</v>
          </cell>
          <cell r="AA14">
            <v>151616</v>
          </cell>
          <cell r="AB14">
            <v>136384</v>
          </cell>
          <cell r="AC14">
            <v>141912</v>
          </cell>
          <cell r="AD14">
            <v>140030</v>
          </cell>
          <cell r="AE14">
            <v>126181</v>
          </cell>
          <cell r="AF14">
            <v>135739</v>
          </cell>
          <cell r="AG14">
            <v>135739</v>
          </cell>
          <cell r="AH14">
            <v>149114</v>
          </cell>
          <cell r="AI14">
            <v>186203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D15"/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/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3156399</v>
          </cell>
          <cell r="D16"/>
          <cell r="E16">
            <v>413687</v>
          </cell>
          <cell r="F16">
            <v>449921</v>
          </cell>
          <cell r="G16">
            <v>420996</v>
          </cell>
          <cell r="H16">
            <v>305324</v>
          </cell>
          <cell r="I16">
            <v>229069</v>
          </cell>
          <cell r="J16">
            <v>229069</v>
          </cell>
          <cell r="K16">
            <v>199998</v>
          </cell>
          <cell r="L16">
            <v>189929</v>
          </cell>
          <cell r="M16">
            <v>216827</v>
          </cell>
          <cell r="N16">
            <v>219930</v>
          </cell>
          <cell r="O16">
            <v>281649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3180077</v>
          </cell>
          <cell r="X16">
            <v>394443</v>
          </cell>
          <cell r="Y16">
            <v>357999</v>
          </cell>
          <cell r="Z16">
            <v>336647</v>
          </cell>
          <cell r="AA16">
            <v>275856</v>
          </cell>
          <cell r="AB16">
            <v>225492</v>
          </cell>
          <cell r="AC16">
            <v>203784</v>
          </cell>
          <cell r="AD16">
            <v>198497</v>
          </cell>
          <cell r="AE16">
            <v>179815</v>
          </cell>
          <cell r="AF16">
            <v>194553</v>
          </cell>
          <cell r="AG16">
            <v>194553</v>
          </cell>
          <cell r="AH16">
            <v>247868</v>
          </cell>
          <cell r="AI16">
            <v>370570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1.035984</v>
          </cell>
          <cell r="I18">
            <v>1.0363309999999999</v>
          </cell>
          <cell r="J18">
            <v>1.0378799999999999</v>
          </cell>
          <cell r="K18">
            <v>1.0355460000000001</v>
          </cell>
          <cell r="L18">
            <v>1.035309</v>
          </cell>
          <cell r="M18">
            <v>1.0329710000000001</v>
          </cell>
          <cell r="N18">
            <v>1.0365549999999999</v>
          </cell>
          <cell r="O18">
            <v>0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466973</v>
          </cell>
          <cell r="E21">
            <v>110187</v>
          </cell>
          <cell r="F21">
            <v>116111</v>
          </cell>
          <cell r="G21">
            <v>102742</v>
          </cell>
          <cell r="H21">
            <v>49518</v>
          </cell>
          <cell r="I21">
            <v>25905</v>
          </cell>
          <cell r="J21">
            <v>25944</v>
          </cell>
          <cell r="K21">
            <v>9001</v>
          </cell>
          <cell r="L21">
            <v>8671</v>
          </cell>
          <cell r="M21">
            <v>8417</v>
          </cell>
          <cell r="N21">
            <v>10477</v>
          </cell>
          <cell r="O21">
            <v>0</v>
          </cell>
          <cell r="P21">
            <v>0</v>
          </cell>
          <cell r="T21">
            <v>18</v>
          </cell>
          <cell r="U21" t="str">
            <v>Residential</v>
          </cell>
          <cell r="W21">
            <v>478607</v>
          </cell>
          <cell r="X21">
            <v>90828</v>
          </cell>
          <cell r="Y21">
            <v>89621</v>
          </cell>
          <cell r="Z21">
            <v>77046</v>
          </cell>
          <cell r="AA21">
            <v>47720</v>
          </cell>
          <cell r="AB21">
            <v>31716</v>
          </cell>
          <cell r="AC21">
            <v>15919</v>
          </cell>
          <cell r="AD21">
            <v>9687</v>
          </cell>
          <cell r="AE21">
            <v>8707</v>
          </cell>
          <cell r="AF21">
            <v>9201</v>
          </cell>
          <cell r="AG21">
            <v>9165</v>
          </cell>
          <cell r="AH21">
            <v>27463</v>
          </cell>
          <cell r="AI21">
            <v>61534</v>
          </cell>
        </row>
        <row r="22">
          <cell r="A22">
            <v>19</v>
          </cell>
          <cell r="B22" t="str">
            <v>Commercial</v>
          </cell>
          <cell r="D22">
            <v>919143</v>
          </cell>
          <cell r="E22">
            <v>157729</v>
          </cell>
          <cell r="F22">
            <v>178658</v>
          </cell>
          <cell r="G22">
            <v>149840</v>
          </cell>
          <cell r="H22">
            <v>94994</v>
          </cell>
          <cell r="I22">
            <v>63239</v>
          </cell>
          <cell r="J22">
            <v>63334</v>
          </cell>
          <cell r="K22">
            <v>52400</v>
          </cell>
          <cell r="L22">
            <v>50176</v>
          </cell>
          <cell r="M22">
            <v>54975</v>
          </cell>
          <cell r="N22">
            <v>53798</v>
          </cell>
          <cell r="O22">
            <v>0</v>
          </cell>
          <cell r="P22">
            <v>0</v>
          </cell>
          <cell r="T22">
            <v>19</v>
          </cell>
          <cell r="U22" t="str">
            <v>Commercial</v>
          </cell>
          <cell r="W22">
            <v>1054589</v>
          </cell>
          <cell r="X22">
            <v>209253</v>
          </cell>
          <cell r="Y22">
            <v>133025</v>
          </cell>
          <cell r="Z22">
            <v>116006</v>
          </cell>
          <cell r="AA22">
            <v>81328</v>
          </cell>
          <cell r="AB22">
            <v>60733</v>
          </cell>
          <cell r="AC22">
            <v>48191</v>
          </cell>
          <cell r="AD22">
            <v>50763</v>
          </cell>
          <cell r="AE22">
            <v>46735</v>
          </cell>
          <cell r="AF22">
            <v>51861</v>
          </cell>
          <cell r="AG22">
            <v>51658</v>
          </cell>
          <cell r="AH22">
            <v>74999</v>
          </cell>
          <cell r="AI22">
            <v>130037</v>
          </cell>
        </row>
        <row r="23">
          <cell r="A23">
            <v>20</v>
          </cell>
          <cell r="B23" t="str">
            <v xml:space="preserve">Industrial </v>
          </cell>
          <cell r="D23">
            <v>1592779</v>
          </cell>
          <cell r="E23">
            <v>161084</v>
          </cell>
          <cell r="F23">
            <v>171217</v>
          </cell>
          <cell r="G23">
            <v>184190</v>
          </cell>
          <cell r="H23">
            <v>171799</v>
          </cell>
          <cell r="I23">
            <v>148247</v>
          </cell>
          <cell r="J23">
            <v>148469</v>
          </cell>
          <cell r="K23">
            <v>145706</v>
          </cell>
          <cell r="L23">
            <v>137788</v>
          </cell>
          <cell r="M23">
            <v>160585</v>
          </cell>
          <cell r="N23">
            <v>163694</v>
          </cell>
          <cell r="O23">
            <v>0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1764736</v>
          </cell>
          <cell r="X23">
            <v>108772</v>
          </cell>
          <cell r="Y23">
            <v>148995</v>
          </cell>
          <cell r="Z23">
            <v>156239</v>
          </cell>
          <cell r="AA23">
            <v>157484</v>
          </cell>
          <cell r="AB23">
            <v>141497</v>
          </cell>
          <cell r="AC23">
            <v>147043</v>
          </cell>
          <cell r="AD23">
            <v>144778</v>
          </cell>
          <cell r="AE23">
            <v>130435</v>
          </cell>
          <cell r="AF23">
            <v>140927</v>
          </cell>
          <cell r="AG23">
            <v>140375</v>
          </cell>
          <cell r="AH23">
            <v>154713</v>
          </cell>
          <cell r="AI23">
            <v>193478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2978895</v>
          </cell>
          <cell r="E25">
            <v>429000</v>
          </cell>
          <cell r="F25">
            <v>465986</v>
          </cell>
          <cell r="G25">
            <v>436772</v>
          </cell>
          <cell r="H25">
            <v>316311</v>
          </cell>
          <cell r="I25">
            <v>237391</v>
          </cell>
          <cell r="J25">
            <v>237747</v>
          </cell>
          <cell r="K25">
            <v>207107</v>
          </cell>
          <cell r="L25">
            <v>196635</v>
          </cell>
          <cell r="M25">
            <v>223977</v>
          </cell>
          <cell r="N25">
            <v>227969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V25"/>
          <cell r="W25">
            <v>3297932</v>
          </cell>
          <cell r="X25">
            <v>408853</v>
          </cell>
          <cell r="Y25">
            <v>371641</v>
          </cell>
          <cell r="Z25">
            <v>349291</v>
          </cell>
          <cell r="AA25">
            <v>286532</v>
          </cell>
          <cell r="AB25">
            <v>233946</v>
          </cell>
          <cell r="AC25">
            <v>211153</v>
          </cell>
          <cell r="AD25">
            <v>205228</v>
          </cell>
          <cell r="AE25">
            <v>185877</v>
          </cell>
          <cell r="AF25">
            <v>201989</v>
          </cell>
          <cell r="AG25">
            <v>201198</v>
          </cell>
          <cell r="AH25">
            <v>257175</v>
          </cell>
          <cell r="AI25">
            <v>385049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13465</v>
          </cell>
          <cell r="F28">
            <v>13479</v>
          </cell>
          <cell r="G28">
            <v>13453</v>
          </cell>
          <cell r="H28">
            <v>13405</v>
          </cell>
          <cell r="I28">
            <v>13204</v>
          </cell>
          <cell r="J28">
            <v>13001</v>
          </cell>
          <cell r="K28">
            <v>12963</v>
          </cell>
          <cell r="L28">
            <v>12936</v>
          </cell>
          <cell r="M28">
            <v>12999</v>
          </cell>
          <cell r="N28">
            <v>13170</v>
          </cell>
          <cell r="O28">
            <v>13397</v>
          </cell>
          <cell r="P28">
            <v>13674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411498.41506519174</v>
          </cell>
          <cell r="F29">
            <v>382246.08927595615</v>
          </cell>
          <cell r="G29">
            <v>356161.90048547764</v>
          </cell>
          <cell r="H29">
            <v>281024.64098407648</v>
          </cell>
          <cell r="I29">
            <v>218442.54184234625</v>
          </cell>
          <cell r="J29">
            <v>185841.41714188064</v>
          </cell>
          <cell r="K29">
            <v>196043.85855907388</v>
          </cell>
          <cell r="L29">
            <v>193984.66017488853</v>
          </cell>
          <cell r="M29">
            <v>197103.88794481836</v>
          </cell>
          <cell r="N29">
            <v>302130.89781387686</v>
          </cell>
          <cell r="O29">
            <v>349412.72086548031</v>
          </cell>
          <cell r="P29">
            <v>466636.22550442454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D30"/>
          <cell r="E30">
            <v>425900.85959247343</v>
          </cell>
          <cell r="F30">
            <v>395624.70240061457</v>
          </cell>
          <cell r="G30">
            <v>368627.56700246932</v>
          </cell>
          <cell r="H30">
            <v>290860.50341851916</v>
          </cell>
          <cell r="I30">
            <v>226088.03080682835</v>
          </cell>
          <cell r="J30">
            <v>192345.86674184643</v>
          </cell>
          <cell r="K30">
            <v>202905.39360864146</v>
          </cell>
          <cell r="L30">
            <v>200774.12328100961</v>
          </cell>
          <cell r="M30">
            <v>204002.524022887</v>
          </cell>
          <cell r="N30">
            <v>312705.47923736251</v>
          </cell>
          <cell r="O30">
            <v>361642.16609577212</v>
          </cell>
          <cell r="P30">
            <v>482968.49339707935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11654</v>
          </cell>
          <cell r="F34">
            <v>11661</v>
          </cell>
          <cell r="G34">
            <v>11674</v>
          </cell>
          <cell r="H34">
            <v>11678</v>
          </cell>
          <cell r="I34">
            <v>11665</v>
          </cell>
          <cell r="J34">
            <v>11622</v>
          </cell>
          <cell r="K34">
            <v>11587</v>
          </cell>
          <cell r="L34">
            <v>11556</v>
          </cell>
          <cell r="M34">
            <v>11524</v>
          </cell>
          <cell r="N34">
            <v>11501</v>
          </cell>
          <cell r="O34">
            <v>11493</v>
          </cell>
          <cell r="P34">
            <v>11493</v>
          </cell>
          <cell r="T34">
            <v>31</v>
          </cell>
          <cell r="U34" t="str">
            <v>Residential</v>
          </cell>
          <cell r="V34"/>
          <cell r="W34"/>
          <cell r="X34">
            <v>11444</v>
          </cell>
          <cell r="Y34">
            <v>11467</v>
          </cell>
          <cell r="Z34">
            <v>11473</v>
          </cell>
          <cell r="AA34">
            <v>11472</v>
          </cell>
          <cell r="AB34">
            <v>11469</v>
          </cell>
          <cell r="AC34">
            <v>11467</v>
          </cell>
          <cell r="AD34">
            <v>11463</v>
          </cell>
          <cell r="AE34">
            <v>11458</v>
          </cell>
          <cell r="AF34">
            <v>11459</v>
          </cell>
          <cell r="AG34">
            <v>11461</v>
          </cell>
          <cell r="AH34">
            <v>11467</v>
          </cell>
          <cell r="AI34">
            <v>11478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1941</v>
          </cell>
          <cell r="F35">
            <v>1944</v>
          </cell>
          <cell r="G35">
            <v>1950</v>
          </cell>
          <cell r="H35">
            <v>1952</v>
          </cell>
          <cell r="I35">
            <v>1952</v>
          </cell>
          <cell r="J35">
            <v>1951</v>
          </cell>
          <cell r="K35">
            <v>1950</v>
          </cell>
          <cell r="L35">
            <v>1949</v>
          </cell>
          <cell r="M35">
            <v>1948</v>
          </cell>
          <cell r="N35">
            <v>1947</v>
          </cell>
          <cell r="O35">
            <v>1947</v>
          </cell>
          <cell r="P35">
            <v>1947</v>
          </cell>
          <cell r="T35">
            <v>32</v>
          </cell>
          <cell r="U35" t="str">
            <v>Commercial</v>
          </cell>
          <cell r="V35"/>
          <cell r="W35"/>
          <cell r="X35">
            <v>1928</v>
          </cell>
          <cell r="Y35">
            <v>1931</v>
          </cell>
          <cell r="Z35">
            <v>1931</v>
          </cell>
          <cell r="AA35">
            <v>1932</v>
          </cell>
          <cell r="AB35">
            <v>1931</v>
          </cell>
          <cell r="AC35">
            <v>1930</v>
          </cell>
          <cell r="AD35">
            <v>1928</v>
          </cell>
          <cell r="AE35">
            <v>1926</v>
          </cell>
          <cell r="AF35">
            <v>1924</v>
          </cell>
          <cell r="AG35">
            <v>1924</v>
          </cell>
          <cell r="AH35">
            <v>1924</v>
          </cell>
          <cell r="AI35">
            <v>1926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46</v>
          </cell>
          <cell r="F36">
            <v>46</v>
          </cell>
          <cell r="G36">
            <v>46</v>
          </cell>
          <cell r="H36">
            <v>46</v>
          </cell>
          <cell r="I36">
            <v>46</v>
          </cell>
          <cell r="J36">
            <v>46</v>
          </cell>
          <cell r="K36">
            <v>46</v>
          </cell>
          <cell r="L36">
            <v>46</v>
          </cell>
          <cell r="M36">
            <v>46</v>
          </cell>
          <cell r="N36">
            <v>46</v>
          </cell>
          <cell r="O36">
            <v>46</v>
          </cell>
          <cell r="P36">
            <v>46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47</v>
          </cell>
          <cell r="Y36">
            <v>46</v>
          </cell>
          <cell r="Z36">
            <v>46</v>
          </cell>
          <cell r="AA36">
            <v>46</v>
          </cell>
          <cell r="AB36">
            <v>45</v>
          </cell>
          <cell r="AC36">
            <v>45</v>
          </cell>
          <cell r="AD36">
            <v>45</v>
          </cell>
          <cell r="AE36">
            <v>45</v>
          </cell>
          <cell r="AF36">
            <v>45</v>
          </cell>
          <cell r="AG36">
            <v>45</v>
          </cell>
          <cell r="AH36">
            <v>45</v>
          </cell>
          <cell r="AI36">
            <v>45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13641</v>
          </cell>
          <cell r="F38">
            <v>13651</v>
          </cell>
          <cell r="G38">
            <v>13670</v>
          </cell>
          <cell r="H38">
            <v>13676</v>
          </cell>
          <cell r="I38">
            <v>13663</v>
          </cell>
          <cell r="J38">
            <v>13619</v>
          </cell>
          <cell r="K38">
            <v>13583</v>
          </cell>
          <cell r="L38">
            <v>13551</v>
          </cell>
          <cell r="M38">
            <v>13518</v>
          </cell>
          <cell r="N38">
            <v>13494</v>
          </cell>
          <cell r="O38">
            <v>13486</v>
          </cell>
          <cell r="P38">
            <v>13486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13419</v>
          </cell>
          <cell r="Y38">
            <v>13444</v>
          </cell>
          <cell r="Z38">
            <v>13450</v>
          </cell>
          <cell r="AA38">
            <v>13450</v>
          </cell>
          <cell r="AB38">
            <v>13445</v>
          </cell>
          <cell r="AC38">
            <v>13442</v>
          </cell>
          <cell r="AD38">
            <v>13436</v>
          </cell>
          <cell r="AE38">
            <v>13429</v>
          </cell>
          <cell r="AF38">
            <v>13428</v>
          </cell>
          <cell r="AG38">
            <v>13430</v>
          </cell>
          <cell r="AH38">
            <v>13436</v>
          </cell>
          <cell r="AI38">
            <v>13449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106254</v>
          </cell>
          <cell r="F41">
            <v>218362</v>
          </cell>
          <cell r="G41">
            <v>317393</v>
          </cell>
          <cell r="H41">
            <v>365191</v>
          </cell>
          <cell r="I41">
            <v>390188</v>
          </cell>
          <cell r="J41">
            <v>415185</v>
          </cell>
          <cell r="K41">
            <v>423877</v>
          </cell>
          <cell r="L41">
            <v>432252</v>
          </cell>
          <cell r="M41">
            <v>440400</v>
          </cell>
          <cell r="N41">
            <v>450508</v>
          </cell>
          <cell r="O41">
            <v>476754</v>
          </cell>
          <cell r="P41">
            <v>476754</v>
          </cell>
          <cell r="T41">
            <v>38</v>
          </cell>
          <cell r="U41" t="str">
            <v>Residential</v>
          </cell>
          <cell r="W41"/>
          <cell r="X41">
            <v>87627</v>
          </cell>
          <cell r="Y41">
            <v>173958</v>
          </cell>
          <cell r="Z41">
            <v>248215</v>
          </cell>
          <cell r="AA41">
            <v>294157</v>
          </cell>
          <cell r="AB41">
            <v>324727</v>
          </cell>
          <cell r="AC41">
            <v>340090</v>
          </cell>
          <cell r="AD41">
            <v>349459</v>
          </cell>
          <cell r="AE41">
            <v>357882</v>
          </cell>
          <cell r="AF41">
            <v>366744</v>
          </cell>
          <cell r="AG41">
            <v>375606</v>
          </cell>
          <cell r="AH41">
            <v>402075</v>
          </cell>
          <cell r="AI41">
            <v>461295</v>
          </cell>
        </row>
        <row r="42">
          <cell r="A42">
            <v>39</v>
          </cell>
          <cell r="B42" t="str">
            <v>Commercial</v>
          </cell>
          <cell r="D42"/>
          <cell r="E42">
            <v>152099</v>
          </cell>
          <cell r="F42">
            <v>324598</v>
          </cell>
          <cell r="G42">
            <v>469026</v>
          </cell>
          <cell r="H42">
            <v>560720</v>
          </cell>
          <cell r="I42">
            <v>621742</v>
          </cell>
          <cell r="J42">
            <v>682764</v>
          </cell>
          <cell r="K42">
            <v>733365</v>
          </cell>
          <cell r="L42">
            <v>781830</v>
          </cell>
          <cell r="M42">
            <v>835050</v>
          </cell>
          <cell r="N42">
            <v>886951</v>
          </cell>
          <cell r="O42">
            <v>965498</v>
          </cell>
          <cell r="P42">
            <v>965498</v>
          </cell>
          <cell r="T42">
            <v>39</v>
          </cell>
          <cell r="U42" t="str">
            <v>Commercial</v>
          </cell>
          <cell r="W42"/>
          <cell r="X42">
            <v>201878</v>
          </cell>
          <cell r="Y42">
            <v>330020</v>
          </cell>
          <cell r="Z42">
            <v>441827</v>
          </cell>
          <cell r="AA42">
            <v>520125</v>
          </cell>
          <cell r="AB42">
            <v>578663</v>
          </cell>
          <cell r="AC42">
            <v>625172</v>
          </cell>
          <cell r="AD42">
            <v>674270</v>
          </cell>
          <cell r="AE42">
            <v>719481</v>
          </cell>
          <cell r="AF42">
            <v>769433</v>
          </cell>
          <cell r="AG42">
            <v>819385</v>
          </cell>
          <cell r="AH42">
            <v>891670</v>
          </cell>
          <cell r="AI42">
            <v>1016817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155334</v>
          </cell>
          <cell r="F43">
            <v>320648</v>
          </cell>
          <cell r="G43">
            <v>498185</v>
          </cell>
          <cell r="H43">
            <v>664017</v>
          </cell>
          <cell r="I43">
            <v>807067</v>
          </cell>
          <cell r="J43">
            <v>950117</v>
          </cell>
          <cell r="K43">
            <v>1090822</v>
          </cell>
          <cell r="L43">
            <v>1223911</v>
          </cell>
          <cell r="M43">
            <v>1379370</v>
          </cell>
          <cell r="N43">
            <v>1537291</v>
          </cell>
          <cell r="O43">
            <v>1714147</v>
          </cell>
          <cell r="P43">
            <v>1714147</v>
          </cell>
          <cell r="T43">
            <v>40</v>
          </cell>
          <cell r="U43" t="str">
            <v xml:space="preserve">Industrial </v>
          </cell>
          <cell r="W43"/>
          <cell r="X43">
            <v>104938</v>
          </cell>
          <cell r="Y43">
            <v>248464</v>
          </cell>
          <cell r="Z43">
            <v>399047</v>
          </cell>
          <cell r="AA43">
            <v>550663</v>
          </cell>
          <cell r="AB43">
            <v>687047</v>
          </cell>
          <cell r="AC43">
            <v>828959</v>
          </cell>
          <cell r="AD43">
            <v>968989</v>
          </cell>
          <cell r="AE43">
            <v>1095170</v>
          </cell>
          <cell r="AF43">
            <v>1230909</v>
          </cell>
          <cell r="AG43">
            <v>1366648</v>
          </cell>
          <cell r="AH43">
            <v>1515762</v>
          </cell>
          <cell r="AI43">
            <v>1701965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413687</v>
          </cell>
          <cell r="F45">
            <v>863608</v>
          </cell>
          <cell r="G45">
            <v>1284604</v>
          </cell>
          <cell r="H45">
            <v>1589928</v>
          </cell>
          <cell r="I45">
            <v>1818997</v>
          </cell>
          <cell r="J45">
            <v>2048066</v>
          </cell>
          <cell r="K45">
            <v>2248064</v>
          </cell>
          <cell r="L45">
            <v>2437993</v>
          </cell>
          <cell r="M45">
            <v>2654820</v>
          </cell>
          <cell r="N45">
            <v>2874750</v>
          </cell>
          <cell r="O45">
            <v>3156399</v>
          </cell>
          <cell r="P45">
            <v>3156399</v>
          </cell>
          <cell r="T45">
            <v>42</v>
          </cell>
          <cell r="U45" t="str">
            <v>Total Volume</v>
          </cell>
          <cell r="V45"/>
          <cell r="W45"/>
          <cell r="X45">
            <v>394443</v>
          </cell>
          <cell r="Y45">
            <v>752442</v>
          </cell>
          <cell r="Z45">
            <v>1089089</v>
          </cell>
          <cell r="AA45">
            <v>1364945</v>
          </cell>
          <cell r="AB45">
            <v>1590437</v>
          </cell>
          <cell r="AC45">
            <v>1794221</v>
          </cell>
          <cell r="AD45">
            <v>1992718</v>
          </cell>
          <cell r="AE45">
            <v>2172533</v>
          </cell>
          <cell r="AF45">
            <v>2367086</v>
          </cell>
          <cell r="AG45">
            <v>2561639</v>
          </cell>
          <cell r="AH45">
            <v>2809507</v>
          </cell>
          <cell r="AI45">
            <v>3180077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110187</v>
          </cell>
          <cell r="F48">
            <v>226298</v>
          </cell>
          <cell r="G48">
            <v>329040</v>
          </cell>
          <cell r="H48">
            <v>378558</v>
          </cell>
          <cell r="I48">
            <v>404463</v>
          </cell>
          <cell r="J48">
            <v>430407</v>
          </cell>
          <cell r="K48">
            <v>439408</v>
          </cell>
          <cell r="L48">
            <v>448079</v>
          </cell>
          <cell r="M48">
            <v>456496</v>
          </cell>
          <cell r="N48">
            <v>466973</v>
          </cell>
          <cell r="O48">
            <v>466973</v>
          </cell>
          <cell r="P48">
            <v>466973</v>
          </cell>
          <cell r="T48">
            <v>45</v>
          </cell>
          <cell r="U48" t="str">
            <v>Residential</v>
          </cell>
          <cell r="W48"/>
          <cell r="X48">
            <v>90828</v>
          </cell>
          <cell r="Y48">
            <v>180449</v>
          </cell>
          <cell r="Z48">
            <v>257495</v>
          </cell>
          <cell r="AA48">
            <v>305215</v>
          </cell>
          <cell r="AB48">
            <v>336931</v>
          </cell>
          <cell r="AC48">
            <v>352850</v>
          </cell>
          <cell r="AD48">
            <v>362537</v>
          </cell>
          <cell r="AE48">
            <v>371244</v>
          </cell>
          <cell r="AF48">
            <v>380445</v>
          </cell>
          <cell r="AG48">
            <v>389610</v>
          </cell>
          <cell r="AH48">
            <v>417073</v>
          </cell>
          <cell r="AI48">
            <v>478607</v>
          </cell>
        </row>
        <row r="49">
          <cell r="A49">
            <v>46</v>
          </cell>
          <cell r="B49" t="str">
            <v>Commercial</v>
          </cell>
          <cell r="D49"/>
          <cell r="E49">
            <v>157729</v>
          </cell>
          <cell r="F49">
            <v>336387</v>
          </cell>
          <cell r="G49">
            <v>486227</v>
          </cell>
          <cell r="H49">
            <v>581221</v>
          </cell>
          <cell r="I49">
            <v>644460</v>
          </cell>
          <cell r="J49">
            <v>707794</v>
          </cell>
          <cell r="K49">
            <v>760194</v>
          </cell>
          <cell r="L49">
            <v>810370</v>
          </cell>
          <cell r="M49">
            <v>865345</v>
          </cell>
          <cell r="N49">
            <v>919143</v>
          </cell>
          <cell r="O49">
            <v>919143</v>
          </cell>
          <cell r="P49">
            <v>919143</v>
          </cell>
          <cell r="T49">
            <v>46</v>
          </cell>
          <cell r="U49" t="str">
            <v>Commercial</v>
          </cell>
          <cell r="W49"/>
          <cell r="X49">
            <v>209253</v>
          </cell>
          <cell r="Y49">
            <v>342278</v>
          </cell>
          <cell r="Z49">
            <v>458284</v>
          </cell>
          <cell r="AA49">
            <v>539612</v>
          </cell>
          <cell r="AB49">
            <v>600345</v>
          </cell>
          <cell r="AC49">
            <v>648536</v>
          </cell>
          <cell r="AD49">
            <v>699299</v>
          </cell>
          <cell r="AE49">
            <v>746034</v>
          </cell>
          <cell r="AF49">
            <v>797895</v>
          </cell>
          <cell r="AG49">
            <v>849553</v>
          </cell>
          <cell r="AH49">
            <v>924552</v>
          </cell>
          <cell r="AI49">
            <v>1054589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161084</v>
          </cell>
          <cell r="F50">
            <v>332301</v>
          </cell>
          <cell r="G50">
            <v>516491</v>
          </cell>
          <cell r="H50">
            <v>688290</v>
          </cell>
          <cell r="I50">
            <v>836537</v>
          </cell>
          <cell r="J50">
            <v>985006</v>
          </cell>
          <cell r="K50">
            <v>1130712</v>
          </cell>
          <cell r="L50">
            <v>1268500</v>
          </cell>
          <cell r="M50">
            <v>1429085</v>
          </cell>
          <cell r="N50">
            <v>1592779</v>
          </cell>
          <cell r="O50">
            <v>1592779</v>
          </cell>
          <cell r="P50">
            <v>1592779</v>
          </cell>
          <cell r="T50">
            <v>47</v>
          </cell>
          <cell r="U50" t="str">
            <v xml:space="preserve">Industrial </v>
          </cell>
          <cell r="W50"/>
          <cell r="X50">
            <v>108772</v>
          </cell>
          <cell r="Y50">
            <v>257767</v>
          </cell>
          <cell r="Z50">
            <v>414006</v>
          </cell>
          <cell r="AA50">
            <v>571490</v>
          </cell>
          <cell r="AB50">
            <v>712987</v>
          </cell>
          <cell r="AC50">
            <v>860030</v>
          </cell>
          <cell r="AD50">
            <v>1004808</v>
          </cell>
          <cell r="AE50">
            <v>1135243</v>
          </cell>
          <cell r="AF50">
            <v>1276170</v>
          </cell>
          <cell r="AG50">
            <v>1416545</v>
          </cell>
          <cell r="AH50">
            <v>1571258</v>
          </cell>
          <cell r="AI50">
            <v>1764736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429000</v>
          </cell>
          <cell r="F52">
            <v>894986</v>
          </cell>
          <cell r="G52">
            <v>1331758</v>
          </cell>
          <cell r="H52">
            <v>1648069</v>
          </cell>
          <cell r="I52">
            <v>1885460</v>
          </cell>
          <cell r="J52">
            <v>2123207</v>
          </cell>
          <cell r="K52">
            <v>2330314</v>
          </cell>
          <cell r="L52">
            <v>2526949</v>
          </cell>
          <cell r="M52">
            <v>2750926</v>
          </cell>
          <cell r="N52">
            <v>2978895</v>
          </cell>
          <cell r="O52">
            <v>2978895</v>
          </cell>
          <cell r="P52">
            <v>2978895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408853</v>
          </cell>
          <cell r="Y52">
            <v>780494</v>
          </cell>
          <cell r="Z52">
            <v>1129785</v>
          </cell>
          <cell r="AA52">
            <v>1416317</v>
          </cell>
          <cell r="AB52">
            <v>1650263</v>
          </cell>
          <cell r="AC52">
            <v>1861416</v>
          </cell>
          <cell r="AD52">
            <v>2066644</v>
          </cell>
          <cell r="AE52">
            <v>2252521</v>
          </cell>
          <cell r="AF52">
            <v>2454510</v>
          </cell>
          <cell r="AG52">
            <v>2655708</v>
          </cell>
          <cell r="AH52">
            <v>2912883</v>
          </cell>
          <cell r="AI52">
            <v>3297932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13465</v>
          </cell>
          <cell r="F55">
            <v>13472</v>
          </cell>
          <cell r="G55">
            <v>13466</v>
          </cell>
          <cell r="H55">
            <v>13451</v>
          </cell>
          <cell r="I55">
            <v>13401</v>
          </cell>
          <cell r="J55">
            <v>13335</v>
          </cell>
          <cell r="K55">
            <v>13281</v>
          </cell>
          <cell r="L55">
            <v>13238</v>
          </cell>
          <cell r="M55">
            <v>13212</v>
          </cell>
          <cell r="N55">
            <v>13208</v>
          </cell>
          <cell r="O55">
            <v>13225</v>
          </cell>
          <cell r="P55">
            <v>13262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411498.41506519174</v>
          </cell>
          <cell r="F56">
            <v>793744.50434114784</v>
          </cell>
          <cell r="G56">
            <v>1149906.4048266255</v>
          </cell>
          <cell r="H56">
            <v>1430931.045810702</v>
          </cell>
          <cell r="I56">
            <v>1649373.5876530483</v>
          </cell>
          <cell r="J56">
            <v>1835215.0047949289</v>
          </cell>
          <cell r="K56">
            <v>2031258.8633540028</v>
          </cell>
          <cell r="L56">
            <v>2225243.5235288911</v>
          </cell>
          <cell r="M56">
            <v>2422347.4114737096</v>
          </cell>
          <cell r="N56">
            <v>2724478.3092875862</v>
          </cell>
          <cell r="O56">
            <v>3073891.0301530664</v>
          </cell>
          <cell r="P56">
            <v>3540527.2556574908</v>
          </cell>
        </row>
        <row r="57">
          <cell r="A57">
            <v>54</v>
          </cell>
          <cell r="B57" t="str">
            <v>Cumulative YTD Budget Volume (Dts) * 1.035</v>
          </cell>
          <cell r="E57">
            <v>425900.85959247343</v>
          </cell>
          <cell r="F57">
            <v>821525.56199308799</v>
          </cell>
          <cell r="G57">
            <v>1190153.1289955573</v>
          </cell>
          <cell r="H57">
            <v>1481013.6324140765</v>
          </cell>
          <cell r="I57">
            <v>1707101.6632209048</v>
          </cell>
          <cell r="J57">
            <v>1899447.5299627511</v>
          </cell>
          <cell r="K57">
            <v>2102352.9235713924</v>
          </cell>
          <cell r="L57">
            <v>2303127.0468524019</v>
          </cell>
          <cell r="M57">
            <v>2507129.5708752889</v>
          </cell>
          <cell r="N57">
            <v>2819835.0501126517</v>
          </cell>
          <cell r="O57">
            <v>3181477.216208424</v>
          </cell>
          <cell r="P57">
            <v>3664445.7096055034</v>
          </cell>
        </row>
      </sheetData>
      <sheetData sheetId="12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9994</v>
          </cell>
          <cell r="E5">
            <v>9984</v>
          </cell>
          <cell r="F5">
            <v>9992</v>
          </cell>
          <cell r="G5">
            <v>10000</v>
          </cell>
          <cell r="H5">
            <v>9992</v>
          </cell>
          <cell r="I5">
            <v>9975</v>
          </cell>
          <cell r="J5">
            <v>9965</v>
          </cell>
          <cell r="K5">
            <v>9970</v>
          </cell>
          <cell r="L5">
            <v>10004</v>
          </cell>
          <cell r="M5">
            <v>9998</v>
          </cell>
          <cell r="N5">
            <v>10013</v>
          </cell>
          <cell r="O5">
            <v>10044</v>
          </cell>
          <cell r="P5"/>
          <cell r="T5">
            <v>2</v>
          </cell>
          <cell r="U5" t="str">
            <v>Residential</v>
          </cell>
          <cell r="V5">
            <v>10741</v>
          </cell>
          <cell r="W5">
            <v>118152</v>
          </cell>
          <cell r="X5">
            <v>9786</v>
          </cell>
          <cell r="Y5">
            <v>9791</v>
          </cell>
          <cell r="Z5">
            <v>9812</v>
          </cell>
          <cell r="AA5">
            <v>9815</v>
          </cell>
          <cell r="AB5">
            <v>9818</v>
          </cell>
          <cell r="AC5">
            <v>9844</v>
          </cell>
          <cell r="AD5">
            <v>9848</v>
          </cell>
          <cell r="AE5">
            <v>9857</v>
          </cell>
          <cell r="AF5">
            <v>9855</v>
          </cell>
          <cell r="AG5">
            <v>9875</v>
          </cell>
          <cell r="AH5">
            <v>9893</v>
          </cell>
          <cell r="AI5">
            <v>9958</v>
          </cell>
        </row>
        <row r="6">
          <cell r="A6">
            <v>3</v>
          </cell>
          <cell r="B6" t="str">
            <v>Commercial</v>
          </cell>
          <cell r="C6"/>
          <cell r="D6">
            <v>1103</v>
          </cell>
          <cell r="E6">
            <v>1086</v>
          </cell>
          <cell r="F6">
            <v>1080</v>
          </cell>
          <cell r="G6">
            <v>1079</v>
          </cell>
          <cell r="H6">
            <v>1089</v>
          </cell>
          <cell r="I6">
            <v>1109</v>
          </cell>
          <cell r="J6">
            <v>1113</v>
          </cell>
          <cell r="K6">
            <v>1119</v>
          </cell>
          <cell r="L6">
            <v>1120</v>
          </cell>
          <cell r="M6">
            <v>1120</v>
          </cell>
          <cell r="N6">
            <v>1116</v>
          </cell>
          <cell r="O6">
            <v>1099</v>
          </cell>
          <cell r="P6"/>
          <cell r="T6">
            <v>3</v>
          </cell>
          <cell r="U6" t="str">
            <v>Commercial</v>
          </cell>
          <cell r="V6">
            <v>1195</v>
          </cell>
          <cell r="W6">
            <v>13150</v>
          </cell>
          <cell r="X6">
            <v>1087</v>
          </cell>
          <cell r="Y6">
            <v>1081</v>
          </cell>
          <cell r="Z6">
            <v>1073</v>
          </cell>
          <cell r="AA6">
            <v>1082</v>
          </cell>
          <cell r="AB6">
            <v>1088</v>
          </cell>
          <cell r="AC6">
            <v>1105</v>
          </cell>
          <cell r="AD6">
            <v>1109</v>
          </cell>
          <cell r="AE6">
            <v>1108</v>
          </cell>
          <cell r="AF6">
            <v>1106</v>
          </cell>
          <cell r="AG6">
            <v>1138</v>
          </cell>
          <cell r="AH6">
            <v>1089</v>
          </cell>
          <cell r="AI6">
            <v>1084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36</v>
          </cell>
          <cell r="E7">
            <v>36</v>
          </cell>
          <cell r="F7">
            <v>36</v>
          </cell>
          <cell r="G7">
            <v>29</v>
          </cell>
          <cell r="H7">
            <v>36</v>
          </cell>
          <cell r="I7">
            <v>36</v>
          </cell>
          <cell r="J7">
            <v>36</v>
          </cell>
          <cell r="K7">
            <v>36</v>
          </cell>
          <cell r="L7">
            <v>37</v>
          </cell>
          <cell r="M7">
            <v>37</v>
          </cell>
          <cell r="N7">
            <v>36</v>
          </cell>
          <cell r="O7">
            <v>36</v>
          </cell>
          <cell r="P7"/>
          <cell r="T7">
            <v>4</v>
          </cell>
          <cell r="U7" t="str">
            <v xml:space="preserve">Industrial </v>
          </cell>
          <cell r="V7">
            <v>35</v>
          </cell>
          <cell r="W7">
            <v>385</v>
          </cell>
          <cell r="X7">
            <v>31</v>
          </cell>
          <cell r="Y7">
            <v>36</v>
          </cell>
          <cell r="Z7">
            <v>29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40</v>
          </cell>
          <cell r="AG7">
            <v>2</v>
          </cell>
          <cell r="AH7">
            <v>36</v>
          </cell>
          <cell r="AI7">
            <v>36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/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11133</v>
          </cell>
          <cell r="E9">
            <v>11106</v>
          </cell>
          <cell r="F9">
            <v>11108</v>
          </cell>
          <cell r="G9">
            <v>11108</v>
          </cell>
          <cell r="H9">
            <v>11117</v>
          </cell>
          <cell r="I9">
            <v>11120</v>
          </cell>
          <cell r="J9">
            <v>11114</v>
          </cell>
          <cell r="K9">
            <v>11125</v>
          </cell>
          <cell r="L9">
            <v>11161</v>
          </cell>
          <cell r="M9">
            <v>11155</v>
          </cell>
          <cell r="N9">
            <v>11165</v>
          </cell>
          <cell r="O9">
            <v>11179</v>
          </cell>
          <cell r="P9">
            <v>0</v>
          </cell>
          <cell r="T9">
            <v>6</v>
          </cell>
          <cell r="U9" t="str">
            <v>Total customers</v>
          </cell>
          <cell r="V9">
            <v>11971</v>
          </cell>
          <cell r="W9">
            <v>131687</v>
          </cell>
          <cell r="X9">
            <v>10904</v>
          </cell>
          <cell r="Y9">
            <v>10908</v>
          </cell>
          <cell r="Z9">
            <v>10914</v>
          </cell>
          <cell r="AA9">
            <v>10932</v>
          </cell>
          <cell r="AB9">
            <v>10941</v>
          </cell>
          <cell r="AC9">
            <v>10984</v>
          </cell>
          <cell r="AD9">
            <v>10992</v>
          </cell>
          <cell r="AE9">
            <v>11000</v>
          </cell>
          <cell r="AF9">
            <v>11001</v>
          </cell>
          <cell r="AG9">
            <v>11015</v>
          </cell>
          <cell r="AH9">
            <v>11018</v>
          </cell>
          <cell r="AI9">
            <v>11078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245156</v>
          </cell>
          <cell r="E12">
            <v>51342</v>
          </cell>
          <cell r="F12">
            <v>55409</v>
          </cell>
          <cell r="G12">
            <v>50057</v>
          </cell>
          <cell r="H12">
            <v>24813</v>
          </cell>
          <cell r="I12">
            <v>12892</v>
          </cell>
          <cell r="J12">
            <v>8946</v>
          </cell>
          <cell r="K12">
            <v>7094</v>
          </cell>
          <cell r="L12">
            <v>7132</v>
          </cell>
          <cell r="M12">
            <v>5972</v>
          </cell>
          <cell r="N12">
            <v>6446</v>
          </cell>
          <cell r="O12">
            <v>15053</v>
          </cell>
          <cell r="P12"/>
          <cell r="T12">
            <v>9</v>
          </cell>
          <cell r="U12" t="str">
            <v>Residential</v>
          </cell>
          <cell r="W12">
            <v>229485.3</v>
          </cell>
          <cell r="X12">
            <v>41684</v>
          </cell>
          <cell r="Y12">
            <v>39766</v>
          </cell>
          <cell r="Z12">
            <v>30879</v>
          </cell>
          <cell r="AA12">
            <v>22775</v>
          </cell>
          <cell r="AB12">
            <v>15254</v>
          </cell>
          <cell r="AC12">
            <v>9773</v>
          </cell>
          <cell r="AD12">
            <v>7078.5</v>
          </cell>
          <cell r="AE12">
            <v>6490.8</v>
          </cell>
          <cell r="AF12">
            <v>6680</v>
          </cell>
          <cell r="AG12">
            <v>6890</v>
          </cell>
          <cell r="AH12">
            <v>12771</v>
          </cell>
          <cell r="AI12">
            <v>29444</v>
          </cell>
        </row>
        <row r="13">
          <cell r="A13">
            <v>10</v>
          </cell>
          <cell r="B13" t="str">
            <v>Commercial</v>
          </cell>
          <cell r="D13">
            <v>319138</v>
          </cell>
          <cell r="E13">
            <v>33576</v>
          </cell>
          <cell r="F13">
            <v>35794</v>
          </cell>
          <cell r="G13">
            <v>35156</v>
          </cell>
          <cell r="H13">
            <v>29473</v>
          </cell>
          <cell r="I13">
            <v>23119</v>
          </cell>
          <cell r="J13">
            <v>26475</v>
          </cell>
          <cell r="K13">
            <v>33494</v>
          </cell>
          <cell r="L13">
            <v>30521</v>
          </cell>
          <cell r="M13">
            <v>27194</v>
          </cell>
          <cell r="N13">
            <v>23777</v>
          </cell>
          <cell r="O13">
            <v>20559</v>
          </cell>
          <cell r="P13"/>
          <cell r="T13">
            <v>10</v>
          </cell>
          <cell r="U13" t="str">
            <v>Commercial</v>
          </cell>
          <cell r="W13">
            <v>291137.40000000002</v>
          </cell>
          <cell r="X13">
            <v>31999</v>
          </cell>
          <cell r="Y13">
            <v>31825</v>
          </cell>
          <cell r="Z13">
            <v>27523</v>
          </cell>
          <cell r="AA13">
            <v>18072</v>
          </cell>
          <cell r="AB13">
            <v>12842</v>
          </cell>
          <cell r="AC13">
            <v>17958</v>
          </cell>
          <cell r="AD13">
            <v>41403.300000000003</v>
          </cell>
          <cell r="AE13">
            <v>21001.1</v>
          </cell>
          <cell r="AF13">
            <v>26724</v>
          </cell>
          <cell r="AG13">
            <v>20670</v>
          </cell>
          <cell r="AH13">
            <v>18027</v>
          </cell>
          <cell r="AI13">
            <v>23093</v>
          </cell>
        </row>
        <row r="14">
          <cell r="A14">
            <v>11</v>
          </cell>
          <cell r="B14" t="str">
            <v xml:space="preserve">Industrial </v>
          </cell>
          <cell r="D14">
            <v>233448</v>
          </cell>
          <cell r="E14">
            <v>19559</v>
          </cell>
          <cell r="F14">
            <v>18757</v>
          </cell>
          <cell r="G14">
            <v>23610</v>
          </cell>
          <cell r="H14">
            <v>23515</v>
          </cell>
          <cell r="I14">
            <v>20064</v>
          </cell>
          <cell r="J14">
            <v>22126</v>
          </cell>
          <cell r="K14">
            <v>20338</v>
          </cell>
          <cell r="L14">
            <v>19031</v>
          </cell>
          <cell r="M14">
            <v>21335</v>
          </cell>
          <cell r="N14">
            <v>20771</v>
          </cell>
          <cell r="O14">
            <v>24342</v>
          </cell>
          <cell r="P14"/>
          <cell r="T14">
            <v>11</v>
          </cell>
          <cell r="U14" t="str">
            <v xml:space="preserve">Industrial </v>
          </cell>
          <cell r="W14">
            <v>199841.9</v>
          </cell>
          <cell r="X14">
            <v>20098</v>
          </cell>
          <cell r="Y14">
            <v>19060</v>
          </cell>
          <cell r="Z14">
            <v>20945</v>
          </cell>
          <cell r="AA14">
            <v>16947</v>
          </cell>
          <cell r="AB14">
            <v>16585</v>
          </cell>
          <cell r="AC14">
            <v>20512</v>
          </cell>
          <cell r="AD14">
            <v>3402.9</v>
          </cell>
          <cell r="AE14">
            <v>1382</v>
          </cell>
          <cell r="AF14">
            <v>16041</v>
          </cell>
          <cell r="AG14">
            <v>23489</v>
          </cell>
          <cell r="AH14">
            <v>18663</v>
          </cell>
          <cell r="AI14">
            <v>22717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/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797742</v>
          </cell>
          <cell r="E16">
            <v>104477</v>
          </cell>
          <cell r="F16">
            <v>109960</v>
          </cell>
          <cell r="G16">
            <v>108823</v>
          </cell>
          <cell r="H16">
            <v>77801</v>
          </cell>
          <cell r="I16">
            <v>56075</v>
          </cell>
          <cell r="J16">
            <v>57547</v>
          </cell>
          <cell r="K16">
            <v>60926</v>
          </cell>
          <cell r="L16">
            <v>56684</v>
          </cell>
          <cell r="M16">
            <v>54501</v>
          </cell>
          <cell r="N16">
            <v>50994</v>
          </cell>
          <cell r="O16">
            <v>59954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720464.6</v>
          </cell>
          <cell r="X16">
            <v>93781</v>
          </cell>
          <cell r="Y16">
            <v>90651</v>
          </cell>
          <cell r="Z16">
            <v>79347</v>
          </cell>
          <cell r="AA16">
            <v>57794</v>
          </cell>
          <cell r="AB16">
            <v>44681</v>
          </cell>
          <cell r="AC16">
            <v>48243</v>
          </cell>
          <cell r="AD16">
            <v>51884.700000000004</v>
          </cell>
          <cell r="AE16">
            <v>28873.899999999998</v>
          </cell>
          <cell r="AF16">
            <v>49445</v>
          </cell>
          <cell r="AG16">
            <v>51049</v>
          </cell>
          <cell r="AH16">
            <v>49461</v>
          </cell>
          <cell r="AI16">
            <v>75254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1.03603</v>
          </cell>
          <cell r="I18">
            <v>1.036332</v>
          </cell>
          <cell r="J18">
            <v>1.0378670000000001</v>
          </cell>
          <cell r="K18">
            <v>1.0355479999999999</v>
          </cell>
          <cell r="L18">
            <v>1.0352539999999999</v>
          </cell>
          <cell r="M18">
            <v>1.0329410000000001</v>
          </cell>
          <cell r="N18">
            <v>1.033307</v>
          </cell>
          <cell r="O18">
            <v>1.036694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254078</v>
          </cell>
          <cell r="E21">
            <v>53242</v>
          </cell>
          <cell r="F21">
            <v>57387</v>
          </cell>
          <cell r="G21">
            <v>51933</v>
          </cell>
          <cell r="H21">
            <v>25707</v>
          </cell>
          <cell r="I21">
            <v>13360</v>
          </cell>
          <cell r="J21">
            <v>9285</v>
          </cell>
          <cell r="K21">
            <v>7346</v>
          </cell>
          <cell r="L21">
            <v>7383</v>
          </cell>
          <cell r="M21">
            <v>6169</v>
          </cell>
          <cell r="N21">
            <v>6661</v>
          </cell>
          <cell r="O21">
            <v>15605</v>
          </cell>
          <cell r="P21">
            <v>0</v>
          </cell>
          <cell r="T21">
            <v>18</v>
          </cell>
          <cell r="U21" t="str">
            <v>Residential</v>
          </cell>
          <cell r="W21">
            <v>238069</v>
          </cell>
          <cell r="X21">
            <v>43207</v>
          </cell>
          <cell r="Y21">
            <v>41281</v>
          </cell>
          <cell r="Z21">
            <v>32039</v>
          </cell>
          <cell r="AA21">
            <v>23656</v>
          </cell>
          <cell r="AB21">
            <v>15826</v>
          </cell>
          <cell r="AC21">
            <v>10126</v>
          </cell>
          <cell r="AD21">
            <v>7319</v>
          </cell>
          <cell r="AE21">
            <v>6710</v>
          </cell>
          <cell r="AF21">
            <v>6935</v>
          </cell>
          <cell r="AG21">
            <v>7125</v>
          </cell>
          <cell r="AH21">
            <v>13251</v>
          </cell>
          <cell r="AI21">
            <v>30594</v>
          </cell>
        </row>
        <row r="22">
          <cell r="A22">
            <v>19</v>
          </cell>
          <cell r="B22" t="str">
            <v>Commercial</v>
          </cell>
          <cell r="D22">
            <v>330590</v>
          </cell>
          <cell r="E22">
            <v>34819</v>
          </cell>
          <cell r="F22">
            <v>37072</v>
          </cell>
          <cell r="G22">
            <v>36473</v>
          </cell>
          <cell r="H22">
            <v>30535</v>
          </cell>
          <cell r="I22">
            <v>23959</v>
          </cell>
          <cell r="J22">
            <v>27478</v>
          </cell>
          <cell r="K22">
            <v>34685</v>
          </cell>
          <cell r="L22">
            <v>31597</v>
          </cell>
          <cell r="M22">
            <v>28090</v>
          </cell>
          <cell r="N22">
            <v>24569</v>
          </cell>
          <cell r="O22">
            <v>21313</v>
          </cell>
          <cell r="P22">
            <v>0</v>
          </cell>
          <cell r="T22">
            <v>19</v>
          </cell>
          <cell r="U22" t="str">
            <v>Commercial</v>
          </cell>
          <cell r="W22">
            <v>301800</v>
          </cell>
          <cell r="X22">
            <v>33168</v>
          </cell>
          <cell r="Y22">
            <v>33038</v>
          </cell>
          <cell r="Z22">
            <v>28557</v>
          </cell>
          <cell r="AA22">
            <v>18771</v>
          </cell>
          <cell r="AB22">
            <v>13323</v>
          </cell>
          <cell r="AC22">
            <v>18607</v>
          </cell>
          <cell r="AD22">
            <v>42807</v>
          </cell>
          <cell r="AE22">
            <v>21709</v>
          </cell>
          <cell r="AF22">
            <v>27745</v>
          </cell>
          <cell r="AG22">
            <v>21376</v>
          </cell>
          <cell r="AH22">
            <v>18704</v>
          </cell>
          <cell r="AI22">
            <v>23995</v>
          </cell>
        </row>
        <row r="23">
          <cell r="A23">
            <v>20</v>
          </cell>
          <cell r="B23" t="str">
            <v xml:space="preserve">Industrial </v>
          </cell>
          <cell r="D23">
            <v>241823</v>
          </cell>
          <cell r="E23">
            <v>20283</v>
          </cell>
          <cell r="F23">
            <v>19427</v>
          </cell>
          <cell r="G23">
            <v>24495</v>
          </cell>
          <cell r="H23">
            <v>24362</v>
          </cell>
          <cell r="I23">
            <v>20793</v>
          </cell>
          <cell r="J23">
            <v>22964</v>
          </cell>
          <cell r="K23">
            <v>21061</v>
          </cell>
          <cell r="L23">
            <v>19702</v>
          </cell>
          <cell r="M23">
            <v>22038</v>
          </cell>
          <cell r="N23">
            <v>21463</v>
          </cell>
          <cell r="O23">
            <v>25235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207275</v>
          </cell>
          <cell r="X23">
            <v>20832</v>
          </cell>
          <cell r="Y23">
            <v>19786</v>
          </cell>
          <cell r="Z23">
            <v>21732</v>
          </cell>
          <cell r="AA23">
            <v>17603</v>
          </cell>
          <cell r="AB23">
            <v>17207</v>
          </cell>
          <cell r="AC23">
            <v>21254</v>
          </cell>
          <cell r="AD23">
            <v>3518</v>
          </cell>
          <cell r="AE23">
            <v>1429</v>
          </cell>
          <cell r="AF23">
            <v>16654</v>
          </cell>
          <cell r="AG23">
            <v>24291</v>
          </cell>
          <cell r="AH23">
            <v>19364</v>
          </cell>
          <cell r="AI23">
            <v>23605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826491</v>
          </cell>
          <cell r="E25">
            <v>108344</v>
          </cell>
          <cell r="F25">
            <v>113886</v>
          </cell>
          <cell r="G25">
            <v>112901</v>
          </cell>
          <cell r="H25">
            <v>80604</v>
          </cell>
          <cell r="I25">
            <v>58112</v>
          </cell>
          <cell r="J25">
            <v>59727</v>
          </cell>
          <cell r="K25">
            <v>63092</v>
          </cell>
          <cell r="L25">
            <v>58682</v>
          </cell>
          <cell r="M25">
            <v>56297</v>
          </cell>
          <cell r="N25">
            <v>52693</v>
          </cell>
          <cell r="O25">
            <v>62153</v>
          </cell>
          <cell r="P25">
            <v>0</v>
          </cell>
          <cell r="T25">
            <v>22</v>
          </cell>
          <cell r="U25" t="str">
            <v>Total Deliveries</v>
          </cell>
          <cell r="V25"/>
          <cell r="W25">
            <v>747144</v>
          </cell>
          <cell r="X25">
            <v>97207</v>
          </cell>
          <cell r="Y25">
            <v>94105</v>
          </cell>
          <cell r="Z25">
            <v>82328</v>
          </cell>
          <cell r="AA25">
            <v>60030</v>
          </cell>
          <cell r="AB25">
            <v>46356</v>
          </cell>
          <cell r="AC25">
            <v>49987</v>
          </cell>
          <cell r="AD25">
            <v>53644</v>
          </cell>
          <cell r="AE25">
            <v>29848</v>
          </cell>
          <cell r="AF25">
            <v>51334</v>
          </cell>
          <cell r="AG25">
            <v>52792</v>
          </cell>
          <cell r="AH25">
            <v>51319</v>
          </cell>
          <cell r="AI25">
            <v>78194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11080</v>
          </cell>
          <cell r="F28">
            <v>11080</v>
          </cell>
          <cell r="G28">
            <v>11096</v>
          </cell>
          <cell r="H28">
            <v>11113</v>
          </cell>
          <cell r="I28">
            <v>11149</v>
          </cell>
          <cell r="J28">
            <v>11178</v>
          </cell>
          <cell r="K28">
            <v>11185</v>
          </cell>
          <cell r="L28">
            <v>11196</v>
          </cell>
          <cell r="M28">
            <v>11207</v>
          </cell>
          <cell r="N28">
            <v>11214</v>
          </cell>
          <cell r="O28">
            <v>11210</v>
          </cell>
          <cell r="P28">
            <v>11210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104633</v>
          </cell>
          <cell r="F29">
            <v>102134</v>
          </cell>
          <cell r="G29">
            <v>89526</v>
          </cell>
          <cell r="H29">
            <v>58993</v>
          </cell>
          <cell r="I29">
            <v>49398</v>
          </cell>
          <cell r="J29">
            <v>57817</v>
          </cell>
          <cell r="K29">
            <v>59820</v>
          </cell>
          <cell r="L29">
            <v>61365</v>
          </cell>
          <cell r="M29">
            <v>61688</v>
          </cell>
          <cell r="N29">
            <v>60851</v>
          </cell>
          <cell r="O29">
            <v>72277</v>
          </cell>
          <cell r="P29">
            <v>96620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108295.155</v>
          </cell>
          <cell r="F30">
            <v>105708.68999999999</v>
          </cell>
          <cell r="G30">
            <v>92659.409999999989</v>
          </cell>
          <cell r="H30">
            <v>61057.754999999997</v>
          </cell>
          <cell r="I30">
            <v>51126.929999999993</v>
          </cell>
          <cell r="J30">
            <v>59840.594999999994</v>
          </cell>
          <cell r="K30">
            <v>61913.7</v>
          </cell>
          <cell r="L30">
            <v>63512.774999999994</v>
          </cell>
          <cell r="M30">
            <v>63847.079999999994</v>
          </cell>
          <cell r="N30">
            <v>62980.784999999996</v>
          </cell>
          <cell r="O30">
            <v>74806.694999999992</v>
          </cell>
          <cell r="P30">
            <v>100001.7</v>
          </cell>
          <cell r="T30">
            <v>27</v>
          </cell>
        </row>
        <row r="31">
          <cell r="A31">
            <v>28</v>
          </cell>
          <cell r="B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9984</v>
          </cell>
          <cell r="F34">
            <v>9988</v>
          </cell>
          <cell r="G34">
            <v>9992</v>
          </cell>
          <cell r="H34">
            <v>9992</v>
          </cell>
          <cell r="I34">
            <v>9989</v>
          </cell>
          <cell r="J34">
            <v>9985</v>
          </cell>
          <cell r="K34">
            <v>9983</v>
          </cell>
          <cell r="L34">
            <v>9985</v>
          </cell>
          <cell r="M34">
            <v>9987</v>
          </cell>
          <cell r="N34">
            <v>9989</v>
          </cell>
          <cell r="O34">
            <v>9994</v>
          </cell>
          <cell r="P34">
            <v>9994</v>
          </cell>
          <cell r="T34">
            <v>31</v>
          </cell>
          <cell r="U34" t="str">
            <v>Residential</v>
          </cell>
          <cell r="V34"/>
          <cell r="W34"/>
          <cell r="X34">
            <v>9786</v>
          </cell>
          <cell r="Y34">
            <v>9789</v>
          </cell>
          <cell r="Z34">
            <v>9796</v>
          </cell>
          <cell r="AA34">
            <v>9801</v>
          </cell>
          <cell r="AB34">
            <v>9804</v>
          </cell>
          <cell r="AC34">
            <v>9811</v>
          </cell>
          <cell r="AD34">
            <v>9816</v>
          </cell>
          <cell r="AE34">
            <v>9821</v>
          </cell>
          <cell r="AF34">
            <v>9825</v>
          </cell>
          <cell r="AG34">
            <v>9830</v>
          </cell>
          <cell r="AH34">
            <v>9836</v>
          </cell>
          <cell r="AI34">
            <v>9846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1086</v>
          </cell>
          <cell r="F35">
            <v>1083</v>
          </cell>
          <cell r="G35">
            <v>1082</v>
          </cell>
          <cell r="H35">
            <v>1084</v>
          </cell>
          <cell r="I35">
            <v>1089</v>
          </cell>
          <cell r="J35">
            <v>1093</v>
          </cell>
          <cell r="K35">
            <v>1096</v>
          </cell>
          <cell r="L35">
            <v>1099</v>
          </cell>
          <cell r="M35">
            <v>1102</v>
          </cell>
          <cell r="N35">
            <v>1103</v>
          </cell>
          <cell r="O35">
            <v>1103</v>
          </cell>
          <cell r="P35">
            <v>1103</v>
          </cell>
          <cell r="T35">
            <v>32</v>
          </cell>
          <cell r="U35" t="str">
            <v>Commercial</v>
          </cell>
          <cell r="V35"/>
          <cell r="W35"/>
          <cell r="X35">
            <v>1087</v>
          </cell>
          <cell r="Y35">
            <v>1084</v>
          </cell>
          <cell r="Z35">
            <v>1080</v>
          </cell>
          <cell r="AA35">
            <v>1081</v>
          </cell>
          <cell r="AB35">
            <v>1082</v>
          </cell>
          <cell r="AC35">
            <v>1086</v>
          </cell>
          <cell r="AD35">
            <v>1089</v>
          </cell>
          <cell r="AE35">
            <v>1092</v>
          </cell>
          <cell r="AF35">
            <v>1093</v>
          </cell>
          <cell r="AG35">
            <v>1098</v>
          </cell>
          <cell r="AH35">
            <v>1097</v>
          </cell>
          <cell r="AI35">
            <v>1096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36</v>
          </cell>
          <cell r="F36">
            <v>36</v>
          </cell>
          <cell r="G36">
            <v>34</v>
          </cell>
          <cell r="H36">
            <v>34</v>
          </cell>
          <cell r="I36">
            <v>35</v>
          </cell>
          <cell r="J36">
            <v>35</v>
          </cell>
          <cell r="K36">
            <v>35</v>
          </cell>
          <cell r="L36">
            <v>35</v>
          </cell>
          <cell r="M36">
            <v>35</v>
          </cell>
          <cell r="N36">
            <v>36</v>
          </cell>
          <cell r="O36">
            <v>36</v>
          </cell>
          <cell r="P36">
            <v>36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31</v>
          </cell>
          <cell r="Y36">
            <v>34</v>
          </cell>
          <cell r="Z36">
            <v>32</v>
          </cell>
          <cell r="AA36">
            <v>33</v>
          </cell>
          <cell r="AB36">
            <v>33</v>
          </cell>
          <cell r="AC36">
            <v>34</v>
          </cell>
          <cell r="AD36">
            <v>34</v>
          </cell>
          <cell r="AE36">
            <v>34</v>
          </cell>
          <cell r="AF36">
            <v>35</v>
          </cell>
          <cell r="AG36">
            <v>31</v>
          </cell>
          <cell r="AH36">
            <v>32</v>
          </cell>
          <cell r="AI36">
            <v>32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11106</v>
          </cell>
          <cell r="F38">
            <v>11107</v>
          </cell>
          <cell r="G38">
            <v>11108</v>
          </cell>
          <cell r="H38">
            <v>11110</v>
          </cell>
          <cell r="I38">
            <v>11113</v>
          </cell>
          <cell r="J38">
            <v>11113</v>
          </cell>
          <cell r="K38">
            <v>11114</v>
          </cell>
          <cell r="L38">
            <v>11119</v>
          </cell>
          <cell r="M38">
            <v>11124</v>
          </cell>
          <cell r="N38">
            <v>11128</v>
          </cell>
          <cell r="O38">
            <v>11133</v>
          </cell>
          <cell r="P38">
            <v>11133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10904</v>
          </cell>
          <cell r="Y38">
            <v>10907</v>
          </cell>
          <cell r="Z38">
            <v>10908</v>
          </cell>
          <cell r="AA38">
            <v>10915</v>
          </cell>
          <cell r="AB38">
            <v>10919</v>
          </cell>
          <cell r="AC38">
            <v>10931</v>
          </cell>
          <cell r="AD38">
            <v>10939</v>
          </cell>
          <cell r="AE38">
            <v>10947</v>
          </cell>
          <cell r="AF38">
            <v>10953</v>
          </cell>
          <cell r="AG38">
            <v>10959</v>
          </cell>
          <cell r="AH38">
            <v>10965</v>
          </cell>
          <cell r="AI38">
            <v>10974</v>
          </cell>
        </row>
        <row r="39">
          <cell r="A39">
            <v>36</v>
          </cell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51342</v>
          </cell>
          <cell r="F41">
            <v>106751</v>
          </cell>
          <cell r="G41">
            <v>156808</v>
          </cell>
          <cell r="H41">
            <v>181621</v>
          </cell>
          <cell r="I41">
            <v>194513</v>
          </cell>
          <cell r="J41">
            <v>203459</v>
          </cell>
          <cell r="K41">
            <v>210553</v>
          </cell>
          <cell r="L41">
            <v>217685</v>
          </cell>
          <cell r="M41">
            <v>223657</v>
          </cell>
          <cell r="N41">
            <v>230103</v>
          </cell>
          <cell r="O41">
            <v>245156</v>
          </cell>
          <cell r="P41">
            <v>245156</v>
          </cell>
          <cell r="T41">
            <v>38</v>
          </cell>
          <cell r="U41" t="str">
            <v>Residential</v>
          </cell>
          <cell r="W41"/>
          <cell r="X41">
            <v>41684</v>
          </cell>
          <cell r="Y41">
            <v>81450</v>
          </cell>
          <cell r="Z41">
            <v>112329</v>
          </cell>
          <cell r="AA41">
            <v>135104</v>
          </cell>
          <cell r="AB41">
            <v>150358</v>
          </cell>
          <cell r="AC41">
            <v>160131</v>
          </cell>
          <cell r="AD41">
            <v>167209.5</v>
          </cell>
          <cell r="AE41">
            <v>173700.3</v>
          </cell>
          <cell r="AF41">
            <v>180380.3</v>
          </cell>
          <cell r="AG41">
            <v>187270.3</v>
          </cell>
          <cell r="AH41">
            <v>200041.3</v>
          </cell>
          <cell r="AI41">
            <v>229485.3</v>
          </cell>
        </row>
        <row r="42">
          <cell r="A42">
            <v>39</v>
          </cell>
          <cell r="B42" t="str">
            <v>Commercial</v>
          </cell>
          <cell r="D42"/>
          <cell r="E42">
            <v>33576</v>
          </cell>
          <cell r="F42">
            <v>69370</v>
          </cell>
          <cell r="G42">
            <v>104526</v>
          </cell>
          <cell r="H42">
            <v>133999</v>
          </cell>
          <cell r="I42">
            <v>157118</v>
          </cell>
          <cell r="J42">
            <v>183593</v>
          </cell>
          <cell r="K42">
            <v>217087</v>
          </cell>
          <cell r="L42">
            <v>247608</v>
          </cell>
          <cell r="M42">
            <v>274802</v>
          </cell>
          <cell r="N42">
            <v>298579</v>
          </cell>
          <cell r="O42">
            <v>319138</v>
          </cell>
          <cell r="P42">
            <v>319138</v>
          </cell>
          <cell r="T42">
            <v>39</v>
          </cell>
          <cell r="U42" t="str">
            <v>Commercial</v>
          </cell>
          <cell r="W42"/>
          <cell r="X42">
            <v>31999</v>
          </cell>
          <cell r="Y42">
            <v>63824</v>
          </cell>
          <cell r="Z42">
            <v>91347</v>
          </cell>
          <cell r="AA42">
            <v>109419</v>
          </cell>
          <cell r="AB42">
            <v>122261</v>
          </cell>
          <cell r="AC42">
            <v>140219</v>
          </cell>
          <cell r="AD42">
            <v>181622.3</v>
          </cell>
          <cell r="AE42">
            <v>202623.4</v>
          </cell>
          <cell r="AF42">
            <v>229347.4</v>
          </cell>
          <cell r="AG42">
            <v>250017.4</v>
          </cell>
          <cell r="AH42">
            <v>268044.40000000002</v>
          </cell>
          <cell r="AI42">
            <v>291137.40000000002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19559</v>
          </cell>
          <cell r="F43">
            <v>38316</v>
          </cell>
          <cell r="G43">
            <v>61926</v>
          </cell>
          <cell r="H43">
            <v>85441</v>
          </cell>
          <cell r="I43">
            <v>105505</v>
          </cell>
          <cell r="J43">
            <v>127631</v>
          </cell>
          <cell r="K43">
            <v>147969</v>
          </cell>
          <cell r="L43">
            <v>167000</v>
          </cell>
          <cell r="M43">
            <v>188335</v>
          </cell>
          <cell r="N43">
            <v>209106</v>
          </cell>
          <cell r="O43">
            <v>233448</v>
          </cell>
          <cell r="P43">
            <v>233448</v>
          </cell>
          <cell r="T43">
            <v>40</v>
          </cell>
          <cell r="U43" t="str">
            <v xml:space="preserve">Industrial </v>
          </cell>
          <cell r="W43"/>
          <cell r="X43">
            <v>20098</v>
          </cell>
          <cell r="Y43">
            <v>39158</v>
          </cell>
          <cell r="Z43">
            <v>60103</v>
          </cell>
          <cell r="AA43">
            <v>77050</v>
          </cell>
          <cell r="AB43">
            <v>93635</v>
          </cell>
          <cell r="AC43">
            <v>114147</v>
          </cell>
          <cell r="AD43">
            <v>117549.9</v>
          </cell>
          <cell r="AE43">
            <v>118931.9</v>
          </cell>
          <cell r="AF43">
            <v>134972.9</v>
          </cell>
          <cell r="AG43">
            <v>158461.9</v>
          </cell>
          <cell r="AH43">
            <v>177124.9</v>
          </cell>
          <cell r="AI43">
            <v>199841.9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104477</v>
          </cell>
          <cell r="F45">
            <v>214437</v>
          </cell>
          <cell r="G45">
            <v>323260</v>
          </cell>
          <cell r="H45">
            <v>401061</v>
          </cell>
          <cell r="I45">
            <v>457136</v>
          </cell>
          <cell r="J45">
            <v>514683</v>
          </cell>
          <cell r="K45">
            <v>575609</v>
          </cell>
          <cell r="L45">
            <v>632293</v>
          </cell>
          <cell r="M45">
            <v>686794</v>
          </cell>
          <cell r="N45">
            <v>737788</v>
          </cell>
          <cell r="O45">
            <v>797742</v>
          </cell>
          <cell r="P45">
            <v>797742</v>
          </cell>
          <cell r="T45">
            <v>42</v>
          </cell>
          <cell r="U45" t="str">
            <v>Total Volume</v>
          </cell>
          <cell r="V45"/>
          <cell r="W45"/>
          <cell r="X45">
            <v>93781</v>
          </cell>
          <cell r="Y45">
            <v>184432</v>
          </cell>
          <cell r="Z45">
            <v>263779</v>
          </cell>
          <cell r="AA45">
            <v>321573</v>
          </cell>
          <cell r="AB45">
            <v>366254</v>
          </cell>
          <cell r="AC45">
            <v>414497</v>
          </cell>
          <cell r="AD45">
            <v>466381.69999999995</v>
          </cell>
          <cell r="AE45">
            <v>495255.6</v>
          </cell>
          <cell r="AF45">
            <v>544700.6</v>
          </cell>
          <cell r="AG45">
            <v>595749.6</v>
          </cell>
          <cell r="AH45">
            <v>645210.6</v>
          </cell>
          <cell r="AI45">
            <v>720464.6</v>
          </cell>
        </row>
        <row r="46">
          <cell r="A46">
            <v>43</v>
          </cell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53242</v>
          </cell>
          <cell r="F48">
            <v>110629</v>
          </cell>
          <cell r="G48">
            <v>162562</v>
          </cell>
          <cell r="H48">
            <v>188269</v>
          </cell>
          <cell r="I48">
            <v>201629</v>
          </cell>
          <cell r="J48">
            <v>210914</v>
          </cell>
          <cell r="K48">
            <v>218260</v>
          </cell>
          <cell r="L48">
            <v>225643</v>
          </cell>
          <cell r="M48">
            <v>231812</v>
          </cell>
          <cell r="N48">
            <v>238473</v>
          </cell>
          <cell r="O48">
            <v>254078</v>
          </cell>
          <cell r="P48">
            <v>254078</v>
          </cell>
          <cell r="T48">
            <v>45</v>
          </cell>
          <cell r="U48" t="str">
            <v>Residential</v>
          </cell>
          <cell r="W48"/>
          <cell r="X48">
            <v>43207</v>
          </cell>
          <cell r="Y48">
            <v>84488</v>
          </cell>
          <cell r="Z48">
            <v>116527</v>
          </cell>
          <cell r="AA48">
            <v>140183</v>
          </cell>
          <cell r="AB48">
            <v>156009</v>
          </cell>
          <cell r="AC48">
            <v>166135</v>
          </cell>
          <cell r="AD48">
            <v>173454</v>
          </cell>
          <cell r="AE48">
            <v>180164</v>
          </cell>
          <cell r="AF48">
            <v>187099</v>
          </cell>
          <cell r="AG48">
            <v>194224</v>
          </cell>
          <cell r="AH48">
            <v>207475</v>
          </cell>
          <cell r="AI48">
            <v>238069</v>
          </cell>
        </row>
        <row r="49">
          <cell r="A49">
            <v>46</v>
          </cell>
          <cell r="B49" t="str">
            <v>Commercial</v>
          </cell>
          <cell r="D49"/>
          <cell r="E49">
            <v>34819</v>
          </cell>
          <cell r="F49">
            <v>71891</v>
          </cell>
          <cell r="G49">
            <v>108364</v>
          </cell>
          <cell r="H49">
            <v>138899</v>
          </cell>
          <cell r="I49">
            <v>162858</v>
          </cell>
          <cell r="J49">
            <v>190336</v>
          </cell>
          <cell r="K49">
            <v>225021</v>
          </cell>
          <cell r="L49">
            <v>256618</v>
          </cell>
          <cell r="M49">
            <v>284708</v>
          </cell>
          <cell r="N49">
            <v>309277</v>
          </cell>
          <cell r="O49">
            <v>330590</v>
          </cell>
          <cell r="P49">
            <v>330590</v>
          </cell>
          <cell r="T49">
            <v>46</v>
          </cell>
          <cell r="U49" t="str">
            <v>Commercial</v>
          </cell>
          <cell r="W49"/>
          <cell r="X49">
            <v>33168</v>
          </cell>
          <cell r="Y49">
            <v>66206</v>
          </cell>
          <cell r="Z49">
            <v>94763</v>
          </cell>
          <cell r="AA49">
            <v>113534</v>
          </cell>
          <cell r="AB49">
            <v>126857</v>
          </cell>
          <cell r="AC49">
            <v>145464</v>
          </cell>
          <cell r="AD49">
            <v>188271</v>
          </cell>
          <cell r="AE49">
            <v>209980</v>
          </cell>
          <cell r="AF49">
            <v>237725</v>
          </cell>
          <cell r="AG49">
            <v>259101</v>
          </cell>
          <cell r="AH49">
            <v>277805</v>
          </cell>
          <cell r="AI49">
            <v>301800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20283</v>
          </cell>
          <cell r="F50">
            <v>39710</v>
          </cell>
          <cell r="G50">
            <v>64205</v>
          </cell>
          <cell r="H50">
            <v>88567</v>
          </cell>
          <cell r="I50">
            <v>109360</v>
          </cell>
          <cell r="J50">
            <v>132324</v>
          </cell>
          <cell r="K50">
            <v>153385</v>
          </cell>
          <cell r="L50">
            <v>173087</v>
          </cell>
          <cell r="M50">
            <v>195125</v>
          </cell>
          <cell r="N50">
            <v>216588</v>
          </cell>
          <cell r="O50">
            <v>241823</v>
          </cell>
          <cell r="P50">
            <v>241823</v>
          </cell>
          <cell r="T50">
            <v>47</v>
          </cell>
          <cell r="U50" t="str">
            <v xml:space="preserve">Industrial </v>
          </cell>
          <cell r="W50"/>
          <cell r="X50">
            <v>20832</v>
          </cell>
          <cell r="Y50">
            <v>40618</v>
          </cell>
          <cell r="Z50">
            <v>62350</v>
          </cell>
          <cell r="AA50">
            <v>79953</v>
          </cell>
          <cell r="AB50">
            <v>97160</v>
          </cell>
          <cell r="AC50">
            <v>118414</v>
          </cell>
          <cell r="AD50">
            <v>121932</v>
          </cell>
          <cell r="AE50">
            <v>123361</v>
          </cell>
          <cell r="AF50">
            <v>140015</v>
          </cell>
          <cell r="AG50">
            <v>164306</v>
          </cell>
          <cell r="AH50">
            <v>183670</v>
          </cell>
          <cell r="AI50">
            <v>207275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108344</v>
          </cell>
          <cell r="F52">
            <v>222230</v>
          </cell>
          <cell r="G52">
            <v>335131</v>
          </cell>
          <cell r="H52">
            <v>415735</v>
          </cell>
          <cell r="I52">
            <v>473847</v>
          </cell>
          <cell r="J52">
            <v>533574</v>
          </cell>
          <cell r="K52">
            <v>596666</v>
          </cell>
          <cell r="L52">
            <v>655348</v>
          </cell>
          <cell r="M52">
            <v>711645</v>
          </cell>
          <cell r="N52">
            <v>764338</v>
          </cell>
          <cell r="O52">
            <v>826491</v>
          </cell>
          <cell r="P52">
            <v>826491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97207</v>
          </cell>
          <cell r="Y52">
            <v>191312</v>
          </cell>
          <cell r="Z52">
            <v>273640</v>
          </cell>
          <cell r="AA52">
            <v>333670</v>
          </cell>
          <cell r="AB52">
            <v>380026</v>
          </cell>
          <cell r="AC52">
            <v>430013</v>
          </cell>
          <cell r="AD52">
            <v>483657</v>
          </cell>
          <cell r="AE52">
            <v>513505</v>
          </cell>
          <cell r="AF52">
            <v>564839</v>
          </cell>
          <cell r="AG52">
            <v>617631</v>
          </cell>
          <cell r="AH52">
            <v>668950</v>
          </cell>
          <cell r="AI52">
            <v>747144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  <cell r="T54"/>
        </row>
        <row r="55">
          <cell r="A55">
            <v>52</v>
          </cell>
          <cell r="B55" t="str">
            <v>YTD Average budget customers</v>
          </cell>
          <cell r="C55"/>
          <cell r="E55">
            <v>11080</v>
          </cell>
          <cell r="F55">
            <v>11080</v>
          </cell>
          <cell r="G55">
            <v>11085</v>
          </cell>
          <cell r="H55">
            <v>11092</v>
          </cell>
          <cell r="I55">
            <v>11104</v>
          </cell>
          <cell r="J55">
            <v>11116</v>
          </cell>
          <cell r="K55">
            <v>11126</v>
          </cell>
          <cell r="L55">
            <v>11135</v>
          </cell>
          <cell r="M55">
            <v>11143</v>
          </cell>
          <cell r="N55">
            <v>11150</v>
          </cell>
          <cell r="O55">
            <v>11155</v>
          </cell>
          <cell r="P55">
            <v>11160</v>
          </cell>
          <cell r="T55"/>
        </row>
        <row r="56">
          <cell r="A56">
            <v>53</v>
          </cell>
          <cell r="B56" t="str">
            <v>Cumulative Budget YTD Volume (Mcfs)</v>
          </cell>
          <cell r="C56"/>
          <cell r="E56">
            <v>104633</v>
          </cell>
          <cell r="F56">
            <v>206767</v>
          </cell>
          <cell r="G56">
            <v>296293</v>
          </cell>
          <cell r="H56">
            <v>355286</v>
          </cell>
          <cell r="I56">
            <v>404684</v>
          </cell>
          <cell r="J56">
            <v>462501</v>
          </cell>
          <cell r="K56">
            <v>522321</v>
          </cell>
          <cell r="L56">
            <v>583686</v>
          </cell>
          <cell r="M56">
            <v>645374</v>
          </cell>
          <cell r="N56">
            <v>706225</v>
          </cell>
          <cell r="O56">
            <v>778502</v>
          </cell>
          <cell r="P56">
            <v>875122</v>
          </cell>
          <cell r="T56"/>
        </row>
        <row r="57">
          <cell r="A57">
            <v>54</v>
          </cell>
          <cell r="B57" t="str">
            <v>Cumulative YTD Budget Volume (Dts) * 1.035</v>
          </cell>
          <cell r="E57">
            <v>108295.155</v>
          </cell>
          <cell r="F57">
            <v>214003.84499999997</v>
          </cell>
          <cell r="G57">
            <v>306663.25499999995</v>
          </cell>
          <cell r="H57">
            <v>367721.00999999995</v>
          </cell>
          <cell r="I57">
            <v>418847.93999999994</v>
          </cell>
          <cell r="J57">
            <v>478688.53499999992</v>
          </cell>
          <cell r="K57">
            <v>540602.23499999987</v>
          </cell>
          <cell r="L57">
            <v>604115.00999999989</v>
          </cell>
          <cell r="M57">
            <v>667962.08999999985</v>
          </cell>
          <cell r="N57">
            <v>730942.87499999988</v>
          </cell>
          <cell r="O57">
            <v>805749.56999999983</v>
          </cell>
          <cell r="P57">
            <v>905751.26999999979</v>
          </cell>
          <cell r="T57"/>
        </row>
      </sheetData>
      <sheetData sheetId="13"/>
      <sheetData sheetId="14">
        <row r="4">
          <cell r="A4"/>
          <cell r="C4"/>
          <cell r="D4"/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/>
          <cell r="D5">
            <v>18618.18181818182</v>
          </cell>
          <cell r="E5">
            <v>18531</v>
          </cell>
          <cell r="F5">
            <v>18540</v>
          </cell>
          <cell r="G5">
            <v>18604</v>
          </cell>
          <cell r="H5">
            <v>18681</v>
          </cell>
          <cell r="I5">
            <v>18729</v>
          </cell>
          <cell r="J5">
            <v>18643</v>
          </cell>
          <cell r="K5">
            <v>18640</v>
          </cell>
          <cell r="L5">
            <v>18608</v>
          </cell>
          <cell r="M5">
            <v>18627</v>
          </cell>
          <cell r="N5">
            <v>18572</v>
          </cell>
          <cell r="O5">
            <v>18625</v>
          </cell>
          <cell r="P5"/>
          <cell r="T5">
            <v>2</v>
          </cell>
          <cell r="U5" t="str">
            <v>Residential</v>
          </cell>
          <cell r="V5">
            <v>1777</v>
          </cell>
          <cell r="W5">
            <v>19548.545454545456</v>
          </cell>
          <cell r="X5">
            <v>17606</v>
          </cell>
          <cell r="Y5">
            <v>17656</v>
          </cell>
          <cell r="Z5">
            <v>17720</v>
          </cell>
          <cell r="AA5">
            <v>17735</v>
          </cell>
          <cell r="AB5">
            <v>17762</v>
          </cell>
          <cell r="AC5">
            <v>17791</v>
          </cell>
          <cell r="AD5">
            <v>17861</v>
          </cell>
          <cell r="AE5">
            <v>17910</v>
          </cell>
          <cell r="AF5">
            <v>18019</v>
          </cell>
          <cell r="AG5">
            <v>18123</v>
          </cell>
          <cell r="AH5">
            <v>18368</v>
          </cell>
          <cell r="AI5">
            <v>18483</v>
          </cell>
        </row>
        <row r="6">
          <cell r="A6">
            <v>3</v>
          </cell>
          <cell r="B6" t="str">
            <v>Commercial</v>
          </cell>
          <cell r="C6"/>
          <cell r="D6">
            <v>1606.3636363636363</v>
          </cell>
          <cell r="E6">
            <v>1600</v>
          </cell>
          <cell r="F6">
            <v>1599</v>
          </cell>
          <cell r="G6">
            <v>1602</v>
          </cell>
          <cell r="H6">
            <v>1606</v>
          </cell>
          <cell r="I6">
            <v>1607</v>
          </cell>
          <cell r="J6">
            <v>1609</v>
          </cell>
          <cell r="K6">
            <v>1601</v>
          </cell>
          <cell r="L6">
            <v>1610</v>
          </cell>
          <cell r="M6">
            <v>1608</v>
          </cell>
          <cell r="N6">
            <v>1612</v>
          </cell>
          <cell r="O6">
            <v>1616</v>
          </cell>
          <cell r="P6"/>
          <cell r="T6">
            <v>3</v>
          </cell>
          <cell r="U6" t="str">
            <v>Commercial</v>
          </cell>
          <cell r="V6">
            <v>157</v>
          </cell>
          <cell r="W6">
            <v>1728.4545454545455</v>
          </cell>
          <cell r="X6">
            <v>1580</v>
          </cell>
          <cell r="Y6">
            <v>1579</v>
          </cell>
          <cell r="Z6">
            <v>1584</v>
          </cell>
          <cell r="AA6">
            <v>1585</v>
          </cell>
          <cell r="AB6">
            <v>1585</v>
          </cell>
          <cell r="AC6">
            <v>1579</v>
          </cell>
          <cell r="AD6">
            <v>1574</v>
          </cell>
          <cell r="AE6">
            <v>1587</v>
          </cell>
          <cell r="AF6">
            <v>1587</v>
          </cell>
          <cell r="AG6">
            <v>1592</v>
          </cell>
          <cell r="AH6">
            <v>1591</v>
          </cell>
          <cell r="AI6">
            <v>1590</v>
          </cell>
        </row>
        <row r="7">
          <cell r="A7">
            <v>4</v>
          </cell>
          <cell r="B7" t="str">
            <v xml:space="preserve">Industrial </v>
          </cell>
          <cell r="C7"/>
          <cell r="D7">
            <v>16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/>
          <cell r="T7">
            <v>4</v>
          </cell>
          <cell r="U7" t="str">
            <v xml:space="preserve">Industrial </v>
          </cell>
          <cell r="V7">
            <v>2</v>
          </cell>
          <cell r="W7">
            <v>17.454545454545453</v>
          </cell>
          <cell r="X7">
            <v>16</v>
          </cell>
          <cell r="Y7">
            <v>16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16</v>
          </cell>
          <cell r="AG7">
            <v>16</v>
          </cell>
          <cell r="AH7">
            <v>16</v>
          </cell>
          <cell r="AI7">
            <v>16</v>
          </cell>
        </row>
        <row r="8">
          <cell r="A8">
            <v>5</v>
          </cell>
          <cell r="B8" t="str">
            <v>Other</v>
          </cell>
          <cell r="C8"/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/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/>
          <cell r="D9">
            <v>20240.545454545456</v>
          </cell>
          <cell r="E9">
            <v>20147</v>
          </cell>
          <cell r="F9">
            <v>20155</v>
          </cell>
          <cell r="G9">
            <v>20222</v>
          </cell>
          <cell r="H9">
            <v>20303</v>
          </cell>
          <cell r="I9">
            <v>20352</v>
          </cell>
          <cell r="J9">
            <v>20268</v>
          </cell>
          <cell r="K9">
            <v>20257</v>
          </cell>
          <cell r="L9">
            <v>20234</v>
          </cell>
          <cell r="M9">
            <v>20251</v>
          </cell>
          <cell r="N9">
            <v>20200</v>
          </cell>
          <cell r="O9">
            <v>20257</v>
          </cell>
          <cell r="P9">
            <v>0</v>
          </cell>
          <cell r="T9">
            <v>6</v>
          </cell>
          <cell r="U9" t="str">
            <v>Total customers</v>
          </cell>
          <cell r="V9">
            <v>1936</v>
          </cell>
          <cell r="W9">
            <v>21294.454545454544</v>
          </cell>
          <cell r="X9">
            <v>19202</v>
          </cell>
          <cell r="Y9">
            <v>19251</v>
          </cell>
          <cell r="Z9">
            <v>19320</v>
          </cell>
          <cell r="AA9">
            <v>19336</v>
          </cell>
          <cell r="AB9">
            <v>19363</v>
          </cell>
          <cell r="AC9">
            <v>19386</v>
          </cell>
          <cell r="AD9">
            <v>19451</v>
          </cell>
          <cell r="AE9">
            <v>19513</v>
          </cell>
          <cell r="AF9">
            <v>19622</v>
          </cell>
          <cell r="AG9">
            <v>19731</v>
          </cell>
          <cell r="AH9">
            <v>19975</v>
          </cell>
          <cell r="AI9">
            <v>20089</v>
          </cell>
        </row>
        <row r="10">
          <cell r="A10">
            <v>7</v>
          </cell>
          <cell r="E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339024.93426818674</v>
          </cell>
          <cell r="E12">
            <v>56450.013633265182</v>
          </cell>
          <cell r="F12">
            <v>40901.558087448502</v>
          </cell>
          <cell r="G12">
            <v>38684.651864835083</v>
          </cell>
          <cell r="H12">
            <v>40621.031259129915</v>
          </cell>
          <cell r="I12">
            <v>25692.591294187816</v>
          </cell>
          <cell r="J12">
            <v>23363.578732106169</v>
          </cell>
          <cell r="K12">
            <v>22633.074301294961</v>
          </cell>
          <cell r="L12">
            <v>19504.796961730339</v>
          </cell>
          <cell r="M12">
            <v>19969.392345894837</v>
          </cell>
          <cell r="N12">
            <v>21905.90904664524</v>
          </cell>
          <cell r="O12">
            <v>29298.336741648727</v>
          </cell>
          <cell r="P12"/>
          <cell r="T12">
            <v>9</v>
          </cell>
          <cell r="U12" t="str">
            <v>Residential</v>
          </cell>
          <cell r="W12">
            <v>354511.05755185924</v>
          </cell>
          <cell r="X12">
            <v>48469.724413282704</v>
          </cell>
          <cell r="Y12">
            <v>44225.36079462526</v>
          </cell>
          <cell r="Z12">
            <v>42846.917908268282</v>
          </cell>
          <cell r="AA12">
            <v>27839.224851495448</v>
          </cell>
          <cell r="AB12">
            <v>24066.89258934696</v>
          </cell>
          <cell r="AC12">
            <v>19503.674164962806</v>
          </cell>
          <cell r="AD12">
            <v>19960.041873600618</v>
          </cell>
          <cell r="AE12">
            <v>17283.354757034784</v>
          </cell>
          <cell r="AF12">
            <v>18023.866978283582</v>
          </cell>
          <cell r="AG12">
            <v>19676.744571039442</v>
          </cell>
          <cell r="AH12">
            <v>25377.381439284229</v>
          </cell>
          <cell r="AI12">
            <v>47237.873210635102</v>
          </cell>
        </row>
        <row r="13">
          <cell r="A13">
            <v>10</v>
          </cell>
          <cell r="B13" t="str">
            <v>Commercial</v>
          </cell>
          <cell r="C13"/>
          <cell r="D13">
            <v>4120232.9184925514</v>
          </cell>
          <cell r="E13">
            <v>424071.6652059597</v>
          </cell>
          <cell r="F13">
            <v>383735.14655760059</v>
          </cell>
          <cell r="G13">
            <v>424527.37754406477</v>
          </cell>
          <cell r="H13">
            <v>397619.82763657608</v>
          </cell>
          <cell r="I13">
            <v>369262.35076443671</v>
          </cell>
          <cell r="J13">
            <v>318885.24393806612</v>
          </cell>
          <cell r="K13">
            <v>353163.31677865429</v>
          </cell>
          <cell r="L13">
            <v>364315.88859674754</v>
          </cell>
          <cell r="M13">
            <v>327586.24306164193</v>
          </cell>
          <cell r="N13">
            <v>372590.2337131172</v>
          </cell>
          <cell r="O13">
            <v>384475.62469568616</v>
          </cell>
          <cell r="P13"/>
          <cell r="T13">
            <v>10</v>
          </cell>
          <cell r="U13" t="str">
            <v>Commercial</v>
          </cell>
          <cell r="W13">
            <v>4308163.058720422</v>
          </cell>
          <cell r="X13">
            <v>390999.03398578259</v>
          </cell>
          <cell r="Y13">
            <v>383474.78624987829</v>
          </cell>
          <cell r="Z13">
            <v>393238.17995910032</v>
          </cell>
          <cell r="AA13">
            <v>327620.69334891427</v>
          </cell>
          <cell r="AB13">
            <v>345941.39740967972</v>
          </cell>
          <cell r="AC13">
            <v>323508.76132047916</v>
          </cell>
          <cell r="AD13">
            <v>314537.69987340545</v>
          </cell>
          <cell r="AE13">
            <v>358198.20235660736</v>
          </cell>
          <cell r="AF13">
            <v>347100.54046158341</v>
          </cell>
          <cell r="AG13">
            <v>370535.7892686727</v>
          </cell>
          <cell r="AH13">
            <v>346066.17294770683</v>
          </cell>
          <cell r="AI13">
            <v>406941.80153861135</v>
          </cell>
        </row>
        <row r="14">
          <cell r="A14">
            <v>11</v>
          </cell>
          <cell r="B14" t="str">
            <v xml:space="preserve">Industrial </v>
          </cell>
          <cell r="C14"/>
          <cell r="D14">
            <v>25696668.229623135</v>
          </cell>
          <cell r="E14">
            <v>2538310.2580582337</v>
          </cell>
          <cell r="F14">
            <v>2203009.9600740098</v>
          </cell>
          <cell r="G14">
            <v>2520286.8390300907</v>
          </cell>
          <cell r="H14">
            <v>2326200.8316291752</v>
          </cell>
          <cell r="I14">
            <v>2440911.8872334212</v>
          </cell>
          <cell r="J14">
            <v>2214848.6902327398</v>
          </cell>
          <cell r="K14">
            <v>2462839.077806992</v>
          </cell>
          <cell r="L14">
            <v>2315661.0176258646</v>
          </cell>
          <cell r="M14">
            <v>2096866.7611257185</v>
          </cell>
          <cell r="N14">
            <v>2355671.2055701627</v>
          </cell>
          <cell r="O14">
            <v>2222061.7012367323</v>
          </cell>
          <cell r="P14"/>
          <cell r="T14">
            <v>11</v>
          </cell>
          <cell r="U14" t="str">
            <v xml:space="preserve">Industrial </v>
          </cell>
          <cell r="W14">
            <v>26840112.118025128</v>
          </cell>
          <cell r="X14">
            <v>2684633.4131853152</v>
          </cell>
          <cell r="Y14">
            <v>2218233.5475703576</v>
          </cell>
          <cell r="Z14">
            <v>2609445.0696270335</v>
          </cell>
          <cell r="AA14">
            <v>2506942.1501606782</v>
          </cell>
          <cell r="AB14">
            <v>2391143.1707079564</v>
          </cell>
          <cell r="AC14">
            <v>2212787.5839906516</v>
          </cell>
          <cell r="AD14">
            <v>2013464.859285227</v>
          </cell>
          <cell r="AE14">
            <v>2051031.803486221</v>
          </cell>
          <cell r="AF14">
            <v>1777732.9087545041</v>
          </cell>
          <cell r="AG14">
            <v>2214680.8598695109</v>
          </cell>
          <cell r="AH14">
            <v>2005467.3084039344</v>
          </cell>
          <cell r="AI14">
            <v>2154549.4429837377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T15">
            <v>12</v>
          </cell>
          <cell r="U15" t="str">
            <v xml:space="preserve">Interruptible </v>
          </cell>
          <cell r="W15">
            <v>0</v>
          </cell>
          <cell r="X15"/>
          <cell r="Y15"/>
          <cell r="Z15"/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30155926.082383871</v>
          </cell>
          <cell r="E16">
            <v>3018831.9368974585</v>
          </cell>
          <cell r="F16">
            <v>2627646.6647190591</v>
          </cell>
          <cell r="G16">
            <v>2983498.8684389908</v>
          </cell>
          <cell r="H16">
            <v>2764441.6905248812</v>
          </cell>
          <cell r="I16">
            <v>2835866.8292920459</v>
          </cell>
          <cell r="J16">
            <v>2557097.5129029122</v>
          </cell>
          <cell r="K16">
            <v>2838635.4688869412</v>
          </cell>
          <cell r="L16">
            <v>2699481.7031843425</v>
          </cell>
          <cell r="M16">
            <v>2444422.3965332555</v>
          </cell>
          <cell r="N16">
            <v>2750167.348329925</v>
          </cell>
          <cell r="O16">
            <v>2635835.6626740671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31502786.23429741</v>
          </cell>
          <cell r="X16">
            <v>3124102.1715843803</v>
          </cell>
          <cell r="Y16">
            <v>2645933.6946148612</v>
          </cell>
          <cell r="Z16">
            <v>3045530.1674944023</v>
          </cell>
          <cell r="AA16">
            <v>2862402.0683610877</v>
          </cell>
          <cell r="AB16">
            <v>2761151.4607069832</v>
          </cell>
          <cell r="AC16">
            <v>2555800.0194760934</v>
          </cell>
          <cell r="AD16">
            <v>2347962.6010322329</v>
          </cell>
          <cell r="AE16">
            <v>2426513.3605998633</v>
          </cell>
          <cell r="AF16">
            <v>2142857.3161943709</v>
          </cell>
          <cell r="AG16">
            <v>2604893.3937092228</v>
          </cell>
          <cell r="AH16">
            <v>2376910.8627909254</v>
          </cell>
          <cell r="AI16">
            <v>2608729.117732984</v>
          </cell>
        </row>
        <row r="17">
          <cell r="A17">
            <v>14</v>
          </cell>
          <cell r="E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348145</v>
          </cell>
          <cell r="E21">
            <v>57969</v>
          </cell>
          <cell r="F21">
            <v>42002</v>
          </cell>
          <cell r="G21">
            <v>39725</v>
          </cell>
          <cell r="H21">
            <v>41714</v>
          </cell>
          <cell r="I21">
            <v>26384</v>
          </cell>
          <cell r="J21">
            <v>23992</v>
          </cell>
          <cell r="K21">
            <v>23242</v>
          </cell>
          <cell r="L21">
            <v>20029</v>
          </cell>
          <cell r="M21">
            <v>20507</v>
          </cell>
          <cell r="N21">
            <v>22495</v>
          </cell>
          <cell r="O21">
            <v>30086</v>
          </cell>
          <cell r="P21">
            <v>0</v>
          </cell>
          <cell r="T21">
            <v>18</v>
          </cell>
          <cell r="U21" t="str">
            <v>Residential</v>
          </cell>
          <cell r="W21">
            <v>364048</v>
          </cell>
          <cell r="X21">
            <v>49774</v>
          </cell>
          <cell r="Y21">
            <v>45415</v>
          </cell>
          <cell r="Z21">
            <v>44000</v>
          </cell>
          <cell r="AA21">
            <v>28588</v>
          </cell>
          <cell r="AB21">
            <v>24714</v>
          </cell>
          <cell r="AC21">
            <v>20028</v>
          </cell>
          <cell r="AD21">
            <v>20497</v>
          </cell>
          <cell r="AE21">
            <v>17748</v>
          </cell>
          <cell r="AF21">
            <v>18509</v>
          </cell>
          <cell r="AG21">
            <v>20206</v>
          </cell>
          <cell r="AH21">
            <v>26060</v>
          </cell>
          <cell r="AI21">
            <v>48509</v>
          </cell>
        </row>
        <row r="22">
          <cell r="A22">
            <v>19</v>
          </cell>
          <cell r="B22" t="str">
            <v>Commercial</v>
          </cell>
          <cell r="D22">
            <v>4231067</v>
          </cell>
          <cell r="E22">
            <v>435479</v>
          </cell>
          <cell r="F22">
            <v>394058</v>
          </cell>
          <cell r="G22">
            <v>435947</v>
          </cell>
          <cell r="H22">
            <v>408316</v>
          </cell>
          <cell r="I22">
            <v>379196</v>
          </cell>
          <cell r="J22">
            <v>327463</v>
          </cell>
          <cell r="K22">
            <v>362663</v>
          </cell>
          <cell r="L22">
            <v>374116</v>
          </cell>
          <cell r="M22">
            <v>336398</v>
          </cell>
          <cell r="N22">
            <v>382613</v>
          </cell>
          <cell r="O22">
            <v>394818</v>
          </cell>
          <cell r="P22">
            <v>0</v>
          </cell>
          <cell r="T22">
            <v>19</v>
          </cell>
          <cell r="U22" t="str">
            <v>Commercial</v>
          </cell>
          <cell r="W22">
            <v>4424053</v>
          </cell>
          <cell r="X22">
            <v>401517</v>
          </cell>
          <cell r="Y22">
            <v>393790</v>
          </cell>
          <cell r="Z22">
            <v>403816</v>
          </cell>
          <cell r="AA22">
            <v>336434</v>
          </cell>
          <cell r="AB22">
            <v>355247</v>
          </cell>
          <cell r="AC22">
            <v>332211</v>
          </cell>
          <cell r="AD22">
            <v>322999</v>
          </cell>
          <cell r="AE22">
            <v>367834</v>
          </cell>
          <cell r="AF22">
            <v>356438</v>
          </cell>
          <cell r="AG22">
            <v>380503</v>
          </cell>
          <cell r="AH22">
            <v>355375</v>
          </cell>
          <cell r="AI22">
            <v>417889</v>
          </cell>
        </row>
        <row r="23">
          <cell r="A23">
            <v>20</v>
          </cell>
          <cell r="B23" t="str">
            <v xml:space="preserve">Industrial </v>
          </cell>
          <cell r="D23">
            <v>26387908</v>
          </cell>
          <cell r="E23">
            <v>2606591</v>
          </cell>
          <cell r="F23">
            <v>2262271</v>
          </cell>
          <cell r="G23">
            <v>2588083</v>
          </cell>
          <cell r="H23">
            <v>2388776</v>
          </cell>
          <cell r="I23">
            <v>2506572</v>
          </cell>
          <cell r="J23">
            <v>2274428</v>
          </cell>
          <cell r="K23">
            <v>2529089</v>
          </cell>
          <cell r="L23">
            <v>2377952</v>
          </cell>
          <cell r="M23">
            <v>2153272</v>
          </cell>
          <cell r="N23">
            <v>2419039</v>
          </cell>
          <cell r="O23">
            <v>2281835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27562112</v>
          </cell>
          <cell r="X23">
            <v>2756850</v>
          </cell>
          <cell r="Y23">
            <v>2277904</v>
          </cell>
          <cell r="Z23">
            <v>2679639</v>
          </cell>
          <cell r="AA23">
            <v>2574379</v>
          </cell>
          <cell r="AB23">
            <v>2455465</v>
          </cell>
          <cell r="AC23">
            <v>2272312</v>
          </cell>
          <cell r="AD23">
            <v>2067627</v>
          </cell>
          <cell r="AE23">
            <v>2106205</v>
          </cell>
          <cell r="AF23">
            <v>1825554</v>
          </cell>
          <cell r="AG23">
            <v>2274256</v>
          </cell>
          <cell r="AH23">
            <v>2059414</v>
          </cell>
          <cell r="AI23">
            <v>2212507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C25"/>
          <cell r="D25">
            <v>30967120</v>
          </cell>
          <cell r="E25">
            <v>3100039</v>
          </cell>
          <cell r="F25">
            <v>2698331</v>
          </cell>
          <cell r="G25">
            <v>3063755</v>
          </cell>
          <cell r="H25">
            <v>2838806</v>
          </cell>
          <cell r="I25">
            <v>2912152</v>
          </cell>
          <cell r="J25">
            <v>2625883</v>
          </cell>
          <cell r="K25">
            <v>2914994</v>
          </cell>
          <cell r="L25">
            <v>2772097</v>
          </cell>
          <cell r="M25">
            <v>2510177</v>
          </cell>
          <cell r="N25">
            <v>2824147</v>
          </cell>
          <cell r="O25">
            <v>2706739</v>
          </cell>
          <cell r="P25">
            <v>0</v>
          </cell>
          <cell r="T25">
            <v>22</v>
          </cell>
          <cell r="U25" t="str">
            <v>Total Deliveries</v>
          </cell>
          <cell r="V25"/>
          <cell r="W25">
            <v>32350213</v>
          </cell>
          <cell r="X25">
            <v>3208141</v>
          </cell>
          <cell r="Y25">
            <v>2717109</v>
          </cell>
          <cell r="Z25">
            <v>3127455</v>
          </cell>
          <cell r="AA25">
            <v>2939401</v>
          </cell>
          <cell r="AB25">
            <v>2835426</v>
          </cell>
          <cell r="AC25">
            <v>2624551</v>
          </cell>
          <cell r="AD25">
            <v>2411123</v>
          </cell>
          <cell r="AE25">
            <v>2491787</v>
          </cell>
          <cell r="AF25">
            <v>2200501</v>
          </cell>
          <cell r="AG25">
            <v>2674965</v>
          </cell>
          <cell r="AH25">
            <v>2440849</v>
          </cell>
          <cell r="AI25">
            <v>2678905</v>
          </cell>
        </row>
        <row r="26">
          <cell r="A26">
            <v>23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T26">
            <v>23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</row>
        <row r="27">
          <cell r="A27">
            <v>24</v>
          </cell>
          <cell r="B27" t="str">
            <v>Budget</v>
          </cell>
          <cell r="C27"/>
          <cell r="D27"/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>
            <v>19978</v>
          </cell>
          <cell r="F28">
            <v>20075</v>
          </cell>
          <cell r="G28">
            <v>20180</v>
          </cell>
          <cell r="H28">
            <v>20329</v>
          </cell>
          <cell r="I28">
            <v>20297</v>
          </cell>
          <cell r="J28">
            <v>20325</v>
          </cell>
          <cell r="K28">
            <v>20387</v>
          </cell>
          <cell r="L28">
            <v>20456</v>
          </cell>
          <cell r="M28">
            <v>20512</v>
          </cell>
          <cell r="N28">
            <v>20551</v>
          </cell>
          <cell r="O28">
            <v>20712</v>
          </cell>
          <cell r="P28">
            <v>20850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C29"/>
          <cell r="D29"/>
          <cell r="E29">
            <v>3152192.6247501331</v>
          </cell>
          <cell r="F29">
            <v>2870123.4106276757</v>
          </cell>
          <cell r="G29">
            <v>2947516.870099742</v>
          </cell>
          <cell r="H29">
            <v>2747878.0219248319</v>
          </cell>
          <cell r="I29">
            <v>2951159.4561117003</v>
          </cell>
          <cell r="J29">
            <v>2655528.4261582368</v>
          </cell>
          <cell r="K29">
            <v>2667663.7496369788</v>
          </cell>
          <cell r="L29">
            <v>2838709.67731902</v>
          </cell>
          <cell r="M29">
            <v>2571619.4459003289</v>
          </cell>
          <cell r="N29">
            <v>2582481.4265982104</v>
          </cell>
          <cell r="O29">
            <v>2647289.2855010252</v>
          </cell>
          <cell r="P29">
            <v>3021509.3808081402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D30"/>
          <cell r="E30">
            <v>3236987</v>
          </cell>
          <cell r="F30">
            <v>2947330</v>
          </cell>
          <cell r="G30">
            <v>3026805</v>
          </cell>
          <cell r="H30">
            <v>2821796</v>
          </cell>
          <cell r="I30">
            <v>3030546</v>
          </cell>
          <cell r="J30">
            <v>2726962</v>
          </cell>
          <cell r="K30">
            <v>2739424</v>
          </cell>
          <cell r="L30">
            <v>2915071</v>
          </cell>
          <cell r="M30">
            <v>2640796</v>
          </cell>
          <cell r="N30">
            <v>2651950</v>
          </cell>
          <cell r="O30">
            <v>2718501</v>
          </cell>
          <cell r="P30">
            <v>3102788</v>
          </cell>
          <cell r="T30">
            <v>27</v>
          </cell>
        </row>
        <row r="31">
          <cell r="A31">
            <v>28</v>
          </cell>
          <cell r="B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C34"/>
          <cell r="D34"/>
          <cell r="E34">
            <v>18531</v>
          </cell>
          <cell r="F34">
            <v>18536</v>
          </cell>
          <cell r="G34">
            <v>18558</v>
          </cell>
          <cell r="H34">
            <v>18589</v>
          </cell>
          <cell r="I34">
            <v>18617</v>
          </cell>
          <cell r="J34">
            <v>18621</v>
          </cell>
          <cell r="K34">
            <v>18624</v>
          </cell>
          <cell r="L34">
            <v>18622</v>
          </cell>
          <cell r="M34">
            <v>18623</v>
          </cell>
          <cell r="N34">
            <v>18618</v>
          </cell>
          <cell r="O34">
            <v>18618</v>
          </cell>
          <cell r="P34">
            <v>18618</v>
          </cell>
          <cell r="T34">
            <v>31</v>
          </cell>
          <cell r="U34" t="str">
            <v>Residential</v>
          </cell>
          <cell r="V34"/>
          <cell r="W34"/>
          <cell r="X34">
            <v>17606</v>
          </cell>
          <cell r="Y34">
            <v>17631</v>
          </cell>
          <cell r="Z34">
            <v>17661</v>
          </cell>
          <cell r="AA34">
            <v>17679</v>
          </cell>
          <cell r="AB34">
            <v>17696</v>
          </cell>
          <cell r="AC34">
            <v>17712</v>
          </cell>
          <cell r="AD34">
            <v>17733</v>
          </cell>
          <cell r="AE34">
            <v>17755</v>
          </cell>
          <cell r="AF34">
            <v>17784</v>
          </cell>
          <cell r="AG34">
            <v>17818</v>
          </cell>
          <cell r="AH34">
            <v>17868</v>
          </cell>
          <cell r="AI34">
            <v>17920</v>
          </cell>
        </row>
        <row r="35">
          <cell r="A35">
            <v>32</v>
          </cell>
          <cell r="B35" t="str">
            <v>Commercial</v>
          </cell>
          <cell r="C35"/>
          <cell r="D35"/>
          <cell r="E35">
            <v>1600</v>
          </cell>
          <cell r="F35">
            <v>1600</v>
          </cell>
          <cell r="G35">
            <v>1600</v>
          </cell>
          <cell r="H35">
            <v>1602</v>
          </cell>
          <cell r="I35">
            <v>1603</v>
          </cell>
          <cell r="J35">
            <v>1604</v>
          </cell>
          <cell r="K35">
            <v>1603</v>
          </cell>
          <cell r="L35">
            <v>1604</v>
          </cell>
          <cell r="M35">
            <v>1605</v>
          </cell>
          <cell r="N35">
            <v>1605</v>
          </cell>
          <cell r="O35">
            <v>1606</v>
          </cell>
          <cell r="P35">
            <v>1606</v>
          </cell>
          <cell r="T35">
            <v>32</v>
          </cell>
          <cell r="U35" t="str">
            <v>Commercial</v>
          </cell>
          <cell r="V35"/>
          <cell r="W35"/>
          <cell r="X35">
            <v>1580</v>
          </cell>
          <cell r="Y35">
            <v>1580</v>
          </cell>
          <cell r="Z35">
            <v>1581</v>
          </cell>
          <cell r="AA35">
            <v>1582</v>
          </cell>
          <cell r="AB35">
            <v>1583</v>
          </cell>
          <cell r="AC35">
            <v>1582</v>
          </cell>
          <cell r="AD35">
            <v>1581</v>
          </cell>
          <cell r="AE35">
            <v>1582</v>
          </cell>
          <cell r="AF35">
            <v>1582</v>
          </cell>
          <cell r="AG35">
            <v>1583</v>
          </cell>
          <cell r="AH35">
            <v>1584</v>
          </cell>
          <cell r="AI35">
            <v>1584</v>
          </cell>
        </row>
        <row r="36">
          <cell r="A36">
            <v>33</v>
          </cell>
          <cell r="B36" t="str">
            <v xml:space="preserve">Industrial </v>
          </cell>
          <cell r="C36"/>
          <cell r="D36"/>
          <cell r="E36">
            <v>16</v>
          </cell>
          <cell r="F36">
            <v>16</v>
          </cell>
          <cell r="G36">
            <v>16</v>
          </cell>
          <cell r="H36">
            <v>16</v>
          </cell>
          <cell r="I36">
            <v>16</v>
          </cell>
          <cell r="J36">
            <v>16</v>
          </cell>
          <cell r="K36">
            <v>16</v>
          </cell>
          <cell r="L36">
            <v>16</v>
          </cell>
          <cell r="M36">
            <v>16</v>
          </cell>
          <cell r="N36">
            <v>16</v>
          </cell>
          <cell r="O36">
            <v>16</v>
          </cell>
          <cell r="P36">
            <v>16</v>
          </cell>
          <cell r="T36">
            <v>33</v>
          </cell>
          <cell r="U36" t="str">
            <v xml:space="preserve">Industrial </v>
          </cell>
          <cell r="V36"/>
          <cell r="W36"/>
          <cell r="X36">
            <v>16</v>
          </cell>
          <cell r="Y36">
            <v>16</v>
          </cell>
          <cell r="Z36">
            <v>16</v>
          </cell>
          <cell r="AA36">
            <v>16</v>
          </cell>
          <cell r="AB36">
            <v>16</v>
          </cell>
          <cell r="AC36">
            <v>16</v>
          </cell>
          <cell r="AD36">
            <v>16</v>
          </cell>
          <cell r="AE36">
            <v>16</v>
          </cell>
          <cell r="AF36">
            <v>16</v>
          </cell>
          <cell r="AG36">
            <v>16</v>
          </cell>
          <cell r="AH36">
            <v>16</v>
          </cell>
          <cell r="AI36">
            <v>16</v>
          </cell>
        </row>
        <row r="37">
          <cell r="A37">
            <v>34</v>
          </cell>
          <cell r="B37" t="str">
            <v>Other</v>
          </cell>
          <cell r="C37"/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V37"/>
          <cell r="W37"/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20147</v>
          </cell>
          <cell r="F38">
            <v>20152</v>
          </cell>
          <cell r="G38">
            <v>20174</v>
          </cell>
          <cell r="H38">
            <v>20207</v>
          </cell>
          <cell r="I38">
            <v>20236</v>
          </cell>
          <cell r="J38">
            <v>20241</v>
          </cell>
          <cell r="K38">
            <v>20243</v>
          </cell>
          <cell r="L38">
            <v>20242</v>
          </cell>
          <cell r="M38">
            <v>20244</v>
          </cell>
          <cell r="N38">
            <v>20239</v>
          </cell>
          <cell r="O38">
            <v>20240</v>
          </cell>
          <cell r="P38">
            <v>20240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19202</v>
          </cell>
          <cell r="Y38">
            <v>19227</v>
          </cell>
          <cell r="Z38">
            <v>19258</v>
          </cell>
          <cell r="AA38">
            <v>19277</v>
          </cell>
          <cell r="AB38">
            <v>19295</v>
          </cell>
          <cell r="AC38">
            <v>19310</v>
          </cell>
          <cell r="AD38">
            <v>19330</v>
          </cell>
          <cell r="AE38">
            <v>19353</v>
          </cell>
          <cell r="AF38">
            <v>19382</v>
          </cell>
          <cell r="AG38">
            <v>19417</v>
          </cell>
          <cell r="AH38">
            <v>19468</v>
          </cell>
          <cell r="AI38">
            <v>19520</v>
          </cell>
        </row>
        <row r="39">
          <cell r="A39">
            <v>36</v>
          </cell>
          <cell r="E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D41"/>
          <cell r="E41">
            <v>56450.013633265182</v>
          </cell>
          <cell r="F41">
            <v>97351.571720713691</v>
          </cell>
          <cell r="G41">
            <v>136036.22358554878</v>
          </cell>
          <cell r="H41">
            <v>176657.25484467868</v>
          </cell>
          <cell r="I41">
            <v>202349.8461388665</v>
          </cell>
          <cell r="J41">
            <v>225713.42487097267</v>
          </cell>
          <cell r="K41">
            <v>248346.49917226762</v>
          </cell>
          <cell r="L41">
            <v>267851.29613399797</v>
          </cell>
          <cell r="M41">
            <v>287820.68847989279</v>
          </cell>
          <cell r="N41">
            <v>309726.59752653801</v>
          </cell>
          <cell r="O41">
            <v>339024.93426818674</v>
          </cell>
          <cell r="P41">
            <v>339024.93426818674</v>
          </cell>
          <cell r="T41">
            <v>38</v>
          </cell>
          <cell r="U41" t="str">
            <v>Residential</v>
          </cell>
          <cell r="W41"/>
          <cell r="X41">
            <v>48469.724413282704</v>
          </cell>
          <cell r="Y41">
            <v>92695.085207907963</v>
          </cell>
          <cell r="Z41">
            <v>135542.00311617623</v>
          </cell>
          <cell r="AA41">
            <v>163381.22796767167</v>
          </cell>
          <cell r="AB41">
            <v>187448.12055701864</v>
          </cell>
          <cell r="AC41">
            <v>206951.79472198145</v>
          </cell>
          <cell r="AD41">
            <v>226911.83659558208</v>
          </cell>
          <cell r="AE41">
            <v>244195.19135261685</v>
          </cell>
          <cell r="AF41">
            <v>262219.05833090044</v>
          </cell>
          <cell r="AG41">
            <v>281895.8029019399</v>
          </cell>
          <cell r="AH41">
            <v>307273.18434122414</v>
          </cell>
          <cell r="AI41">
            <v>354511.05755185924</v>
          </cell>
        </row>
        <row r="42">
          <cell r="A42">
            <v>39</v>
          </cell>
          <cell r="B42" t="str">
            <v>Commercial</v>
          </cell>
          <cell r="D42"/>
          <cell r="E42">
            <v>424071.6652059597</v>
          </cell>
          <cell r="F42">
            <v>807806.81176356028</v>
          </cell>
          <cell r="G42">
            <v>1232334.1893076249</v>
          </cell>
          <cell r="H42">
            <v>1629954.016944201</v>
          </cell>
          <cell r="I42">
            <v>1999216.3677086376</v>
          </cell>
          <cell r="J42">
            <v>2318101.6116467039</v>
          </cell>
          <cell r="K42">
            <v>2671264.9284253581</v>
          </cell>
          <cell r="L42">
            <v>3035580.8170221057</v>
          </cell>
          <cell r="M42">
            <v>3363167.0600837478</v>
          </cell>
          <cell r="N42">
            <v>3735757.2937968653</v>
          </cell>
          <cell r="O42">
            <v>4120232.9184925514</v>
          </cell>
          <cell r="P42">
            <v>4120232.9184925514</v>
          </cell>
          <cell r="T42">
            <v>39</v>
          </cell>
          <cell r="U42" t="str">
            <v>Commercial</v>
          </cell>
          <cell r="W42"/>
          <cell r="X42">
            <v>390999.03398578259</v>
          </cell>
          <cell r="Y42">
            <v>774473.82023566088</v>
          </cell>
          <cell r="Z42">
            <v>1167712.0001947612</v>
          </cell>
          <cell r="AA42">
            <v>1495332.6935436754</v>
          </cell>
          <cell r="AB42">
            <v>1841274.0909533552</v>
          </cell>
          <cell r="AC42">
            <v>2164782.8522738344</v>
          </cell>
          <cell r="AD42">
            <v>2479320.5521472399</v>
          </cell>
          <cell r="AE42">
            <v>2837518.7545038471</v>
          </cell>
          <cell r="AF42">
            <v>3184619.2949654306</v>
          </cell>
          <cell r="AG42">
            <v>3555155.0842341036</v>
          </cell>
          <cell r="AH42">
            <v>3901221.2571818102</v>
          </cell>
          <cell r="AI42">
            <v>4308163.058720422</v>
          </cell>
        </row>
        <row r="43">
          <cell r="A43">
            <v>40</v>
          </cell>
          <cell r="B43" t="str">
            <v xml:space="preserve">Industrial </v>
          </cell>
          <cell r="D43"/>
          <cell r="E43">
            <v>2538310.2580582337</v>
          </cell>
          <cell r="F43">
            <v>4741320.2181322435</v>
          </cell>
          <cell r="G43">
            <v>7261607.0571623342</v>
          </cell>
          <cell r="H43">
            <v>9587807.888791509</v>
          </cell>
          <cell r="I43">
            <v>12028719.77602493</v>
          </cell>
          <cell r="J43">
            <v>14243568.466257669</v>
          </cell>
          <cell r="K43">
            <v>16706407.544064661</v>
          </cell>
          <cell r="L43">
            <v>19022068.561690524</v>
          </cell>
          <cell r="M43">
            <v>21118935.322816242</v>
          </cell>
          <cell r="N43">
            <v>23474606.528386403</v>
          </cell>
          <cell r="O43">
            <v>25696668.229623135</v>
          </cell>
          <cell r="P43">
            <v>25696668.229623135</v>
          </cell>
          <cell r="T43">
            <v>40</v>
          </cell>
          <cell r="U43" t="str">
            <v xml:space="preserve">Industrial </v>
          </cell>
          <cell r="W43"/>
          <cell r="X43">
            <v>2684633.4131853152</v>
          </cell>
          <cell r="Y43">
            <v>4902866.9607556723</v>
          </cell>
          <cell r="Z43">
            <v>7512312.0303827059</v>
          </cell>
          <cell r="AA43">
            <v>10019254.180543384</v>
          </cell>
          <cell r="AB43">
            <v>12410397.35125134</v>
          </cell>
          <cell r="AC43">
            <v>14623184.935241992</v>
          </cell>
          <cell r="AD43">
            <v>16636649.794527218</v>
          </cell>
          <cell r="AE43">
            <v>18687681.598013438</v>
          </cell>
          <cell r="AF43">
            <v>20465414.506767944</v>
          </cell>
          <cell r="AG43">
            <v>22680095.366637453</v>
          </cell>
          <cell r="AH43">
            <v>24685562.675041389</v>
          </cell>
          <cell r="AI43">
            <v>26840112.118025128</v>
          </cell>
        </row>
        <row r="44">
          <cell r="A44">
            <v>41</v>
          </cell>
          <cell r="B44" t="str">
            <v>Other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W44"/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C45"/>
          <cell r="D45"/>
          <cell r="E45">
            <v>3018831.9368974585</v>
          </cell>
          <cell r="F45">
            <v>5646478.6016165176</v>
          </cell>
          <cell r="G45">
            <v>8629977.4700555075</v>
          </cell>
          <cell r="H45">
            <v>11394419.160580389</v>
          </cell>
          <cell r="I45">
            <v>14230285.989872433</v>
          </cell>
          <cell r="J45">
            <v>16787383.502775345</v>
          </cell>
          <cell r="K45">
            <v>19626018.971662287</v>
          </cell>
          <cell r="L45">
            <v>22325500.674846627</v>
          </cell>
          <cell r="M45">
            <v>24769923.071379881</v>
          </cell>
          <cell r="N45">
            <v>27520090.419709805</v>
          </cell>
          <cell r="O45">
            <v>30155926.082383871</v>
          </cell>
          <cell r="P45">
            <v>30155926.082383871</v>
          </cell>
          <cell r="T45">
            <v>42</v>
          </cell>
          <cell r="U45" t="str">
            <v>Total Volume</v>
          </cell>
          <cell r="V45"/>
          <cell r="W45"/>
          <cell r="X45">
            <v>3124102.1715843803</v>
          </cell>
          <cell r="Y45">
            <v>5770035.866199241</v>
          </cell>
          <cell r="Z45">
            <v>8815566.0336936433</v>
          </cell>
          <cell r="AA45">
            <v>11677968.10205473</v>
          </cell>
          <cell r="AB45">
            <v>14439119.562761713</v>
          </cell>
          <cell r="AC45">
            <v>16994919.582237806</v>
          </cell>
          <cell r="AD45">
            <v>19342882.183270041</v>
          </cell>
          <cell r="AE45">
            <v>21769395.543869901</v>
          </cell>
          <cell r="AF45">
            <v>23912252.860064276</v>
          </cell>
          <cell r="AG45">
            <v>26517146.253773496</v>
          </cell>
          <cell r="AH45">
            <v>28894057.116564423</v>
          </cell>
          <cell r="AI45">
            <v>31502786.23429741</v>
          </cell>
        </row>
        <row r="46">
          <cell r="A46">
            <v>43</v>
          </cell>
          <cell r="E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D47"/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W47"/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D48"/>
          <cell r="E48">
            <v>57969</v>
          </cell>
          <cell r="F48">
            <v>99971</v>
          </cell>
          <cell r="G48">
            <v>139696</v>
          </cell>
          <cell r="H48">
            <v>181410</v>
          </cell>
          <cell r="I48">
            <v>207794</v>
          </cell>
          <cell r="J48">
            <v>231786</v>
          </cell>
          <cell r="K48">
            <v>255028</v>
          </cell>
          <cell r="L48">
            <v>275057</v>
          </cell>
          <cell r="M48">
            <v>295564</v>
          </cell>
          <cell r="N48">
            <v>318059</v>
          </cell>
          <cell r="O48">
            <v>348145</v>
          </cell>
          <cell r="P48">
            <v>348145</v>
          </cell>
          <cell r="T48">
            <v>45</v>
          </cell>
          <cell r="U48" t="str">
            <v>Residential</v>
          </cell>
          <cell r="W48"/>
          <cell r="X48">
            <v>49774</v>
          </cell>
          <cell r="Y48">
            <v>95189</v>
          </cell>
          <cell r="Z48">
            <v>139189</v>
          </cell>
          <cell r="AA48">
            <v>167777</v>
          </cell>
          <cell r="AB48">
            <v>192491</v>
          </cell>
          <cell r="AC48">
            <v>212519</v>
          </cell>
          <cell r="AD48">
            <v>233016</v>
          </cell>
          <cell r="AE48">
            <v>250764</v>
          </cell>
          <cell r="AF48">
            <v>269273</v>
          </cell>
          <cell r="AG48">
            <v>289479</v>
          </cell>
          <cell r="AH48">
            <v>315539</v>
          </cell>
          <cell r="AI48">
            <v>364048</v>
          </cell>
        </row>
        <row r="49">
          <cell r="A49">
            <v>46</v>
          </cell>
          <cell r="B49" t="str">
            <v>Commercial</v>
          </cell>
          <cell r="D49"/>
          <cell r="E49">
            <v>435479</v>
          </cell>
          <cell r="F49">
            <v>829537</v>
          </cell>
          <cell r="G49">
            <v>1265484</v>
          </cell>
          <cell r="H49">
            <v>1673800</v>
          </cell>
          <cell r="I49">
            <v>2052996</v>
          </cell>
          <cell r="J49">
            <v>2380459</v>
          </cell>
          <cell r="K49">
            <v>2743122</v>
          </cell>
          <cell r="L49">
            <v>3117238</v>
          </cell>
          <cell r="M49">
            <v>3453636</v>
          </cell>
          <cell r="N49">
            <v>3836249</v>
          </cell>
          <cell r="O49">
            <v>4231067</v>
          </cell>
          <cell r="P49">
            <v>4231067</v>
          </cell>
          <cell r="T49">
            <v>46</v>
          </cell>
          <cell r="U49" t="str">
            <v>Commercial</v>
          </cell>
          <cell r="W49"/>
          <cell r="X49">
            <v>401517</v>
          </cell>
          <cell r="Y49">
            <v>795307</v>
          </cell>
          <cell r="Z49">
            <v>1199123</v>
          </cell>
          <cell r="AA49">
            <v>1535557</v>
          </cell>
          <cell r="AB49">
            <v>1890804</v>
          </cell>
          <cell r="AC49">
            <v>2223015</v>
          </cell>
          <cell r="AD49">
            <v>2546014</v>
          </cell>
          <cell r="AE49">
            <v>2913848</v>
          </cell>
          <cell r="AF49">
            <v>3270286</v>
          </cell>
          <cell r="AG49">
            <v>3650789</v>
          </cell>
          <cell r="AH49">
            <v>4006164</v>
          </cell>
          <cell r="AI49">
            <v>4424053</v>
          </cell>
        </row>
        <row r="50">
          <cell r="A50">
            <v>47</v>
          </cell>
          <cell r="B50" t="str">
            <v xml:space="preserve">Industrial </v>
          </cell>
          <cell r="D50"/>
          <cell r="E50">
            <v>2606591</v>
          </cell>
          <cell r="F50">
            <v>4868862</v>
          </cell>
          <cell r="G50">
            <v>7456945</v>
          </cell>
          <cell r="H50">
            <v>9845721</v>
          </cell>
          <cell r="I50">
            <v>12352293</v>
          </cell>
          <cell r="J50">
            <v>14626721</v>
          </cell>
          <cell r="K50">
            <v>17155810</v>
          </cell>
          <cell r="L50">
            <v>19533762</v>
          </cell>
          <cell r="M50">
            <v>21687034</v>
          </cell>
          <cell r="N50">
            <v>24106073</v>
          </cell>
          <cell r="O50">
            <v>26387908</v>
          </cell>
          <cell r="P50">
            <v>26387908</v>
          </cell>
          <cell r="T50">
            <v>47</v>
          </cell>
          <cell r="U50" t="str">
            <v xml:space="preserve">Industrial </v>
          </cell>
          <cell r="W50"/>
          <cell r="X50">
            <v>2756850</v>
          </cell>
          <cell r="Y50">
            <v>5034754</v>
          </cell>
          <cell r="Z50">
            <v>7714393</v>
          </cell>
          <cell r="AA50">
            <v>10288772</v>
          </cell>
          <cell r="AB50">
            <v>12744237</v>
          </cell>
          <cell r="AC50">
            <v>15016549</v>
          </cell>
          <cell r="AD50">
            <v>17084176</v>
          </cell>
          <cell r="AE50">
            <v>19190381</v>
          </cell>
          <cell r="AF50">
            <v>21015935</v>
          </cell>
          <cell r="AG50">
            <v>23290191</v>
          </cell>
          <cell r="AH50">
            <v>25349605</v>
          </cell>
          <cell r="AI50">
            <v>27562112</v>
          </cell>
        </row>
        <row r="51">
          <cell r="A51">
            <v>48</v>
          </cell>
          <cell r="B51" t="str">
            <v>Other</v>
          </cell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W51"/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C52"/>
          <cell r="D52">
            <v>0</v>
          </cell>
          <cell r="E52">
            <v>3100039</v>
          </cell>
          <cell r="F52">
            <v>5798370</v>
          </cell>
          <cell r="G52">
            <v>8862125</v>
          </cell>
          <cell r="H52">
            <v>11700931</v>
          </cell>
          <cell r="I52">
            <v>14613083</v>
          </cell>
          <cell r="J52">
            <v>17238966</v>
          </cell>
          <cell r="K52">
            <v>20153960</v>
          </cell>
          <cell r="L52">
            <v>22926057</v>
          </cell>
          <cell r="M52">
            <v>25436234</v>
          </cell>
          <cell r="N52">
            <v>28260381</v>
          </cell>
          <cell r="O52">
            <v>30967120</v>
          </cell>
          <cell r="P52">
            <v>30967120</v>
          </cell>
          <cell r="T52">
            <v>49</v>
          </cell>
          <cell r="U52" t="str">
            <v>Total Volume</v>
          </cell>
          <cell r="V52"/>
          <cell r="W52">
            <v>0</v>
          </cell>
          <cell r="X52">
            <v>3208141</v>
          </cell>
          <cell r="Y52">
            <v>5925250</v>
          </cell>
          <cell r="Z52">
            <v>9052705</v>
          </cell>
          <cell r="AA52">
            <v>11992106</v>
          </cell>
          <cell r="AB52">
            <v>14827532</v>
          </cell>
          <cell r="AC52">
            <v>17452083</v>
          </cell>
          <cell r="AD52">
            <v>19863206</v>
          </cell>
          <cell r="AE52">
            <v>22354993</v>
          </cell>
          <cell r="AF52">
            <v>24555494</v>
          </cell>
          <cell r="AG52">
            <v>27230459</v>
          </cell>
          <cell r="AH52">
            <v>29671308</v>
          </cell>
          <cell r="AI52">
            <v>32350213</v>
          </cell>
        </row>
        <row r="53">
          <cell r="A53">
            <v>50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>
            <v>51</v>
          </cell>
          <cell r="B54" t="str">
            <v>Budget - YTD/cumulative</v>
          </cell>
          <cell r="D54"/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C55"/>
          <cell r="D55"/>
          <cell r="E55">
            <v>19978</v>
          </cell>
          <cell r="F55">
            <v>20027</v>
          </cell>
          <cell r="G55">
            <v>20078</v>
          </cell>
          <cell r="H55">
            <v>20141</v>
          </cell>
          <cell r="I55">
            <v>20172</v>
          </cell>
          <cell r="J55">
            <v>20197</v>
          </cell>
          <cell r="K55">
            <v>20224</v>
          </cell>
          <cell r="L55">
            <v>20253</v>
          </cell>
          <cell r="M55">
            <v>20282</v>
          </cell>
          <cell r="N55">
            <v>20309</v>
          </cell>
          <cell r="O55">
            <v>20346</v>
          </cell>
          <cell r="P55">
            <v>20388</v>
          </cell>
        </row>
        <row r="56">
          <cell r="A56">
            <v>53</v>
          </cell>
          <cell r="B56" t="str">
            <v>Cumulative Budget YTD Volume (Mcfs)</v>
          </cell>
          <cell r="C56"/>
          <cell r="D56"/>
          <cell r="E56">
            <v>3152192.6247501331</v>
          </cell>
          <cell r="F56">
            <v>6022316.0353778088</v>
          </cell>
          <cell r="G56">
            <v>8969832.9054775499</v>
          </cell>
          <cell r="H56">
            <v>11717710.927402381</v>
          </cell>
          <cell r="I56">
            <v>14668870.38351408</v>
          </cell>
          <cell r="J56">
            <v>17324398.809672318</v>
          </cell>
          <cell r="K56">
            <v>19992062.559309296</v>
          </cell>
          <cell r="L56">
            <v>22830772.236628316</v>
          </cell>
          <cell r="M56">
            <v>25402391.682528645</v>
          </cell>
          <cell r="N56">
            <v>27984873.109126855</v>
          </cell>
          <cell r="O56">
            <v>30632162.39462788</v>
          </cell>
          <cell r="P56">
            <v>33653671.775436021</v>
          </cell>
        </row>
        <row r="57">
          <cell r="A57">
            <v>54</v>
          </cell>
          <cell r="B57" t="str">
            <v>Cumulative YTD Budget Volume (Dts) * 1.0269</v>
          </cell>
          <cell r="E57">
            <v>3236987</v>
          </cell>
          <cell r="F57">
            <v>6184317</v>
          </cell>
          <cell r="G57">
            <v>9211122</v>
          </cell>
          <cell r="H57">
            <v>12032918</v>
          </cell>
          <cell r="I57">
            <v>15063464</v>
          </cell>
          <cell r="J57">
            <v>17790426</v>
          </cell>
          <cell r="K57">
            <v>20529850</v>
          </cell>
          <cell r="L57">
            <v>23444921</v>
          </cell>
          <cell r="M57">
            <v>26085717</v>
          </cell>
          <cell r="N57">
            <v>28737667</v>
          </cell>
          <cell r="O57">
            <v>31456168</v>
          </cell>
          <cell r="P57">
            <v>34558956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/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62882</v>
          </cell>
          <cell r="D5">
            <v>691705</v>
          </cell>
          <cell r="E5">
            <v>61631</v>
          </cell>
          <cell r="F5">
            <v>61854</v>
          </cell>
          <cell r="G5">
            <v>62132</v>
          </cell>
          <cell r="H5">
            <v>62556</v>
          </cell>
          <cell r="I5">
            <v>62624</v>
          </cell>
          <cell r="J5">
            <v>62994</v>
          </cell>
          <cell r="K5">
            <v>63190</v>
          </cell>
          <cell r="L5">
            <v>63304</v>
          </cell>
          <cell r="M5">
            <v>63477</v>
          </cell>
          <cell r="N5">
            <v>63795</v>
          </cell>
          <cell r="O5">
            <v>64148</v>
          </cell>
          <cell r="P5">
            <v>0</v>
          </cell>
          <cell r="T5">
            <v>2</v>
          </cell>
          <cell r="U5" t="str">
            <v>Residential</v>
          </cell>
          <cell r="V5"/>
          <cell r="W5"/>
          <cell r="X5">
            <v>58765</v>
          </cell>
          <cell r="Y5">
            <v>58917</v>
          </cell>
          <cell r="Z5">
            <v>59129</v>
          </cell>
          <cell r="AA5">
            <v>59500</v>
          </cell>
          <cell r="AB5">
            <v>59564</v>
          </cell>
          <cell r="AC5">
            <v>59804</v>
          </cell>
          <cell r="AD5">
            <v>60210</v>
          </cell>
          <cell r="AE5">
            <v>60320</v>
          </cell>
          <cell r="AF5">
            <v>60530</v>
          </cell>
          <cell r="AG5">
            <v>60870</v>
          </cell>
          <cell r="AH5">
            <v>61197</v>
          </cell>
          <cell r="AI5">
            <v>61385</v>
          </cell>
        </row>
        <row r="6">
          <cell r="A6">
            <v>3</v>
          </cell>
          <cell r="B6" t="str">
            <v>Commercial</v>
          </cell>
          <cell r="C6">
            <v>4079</v>
          </cell>
          <cell r="D6">
            <v>44867</v>
          </cell>
          <cell r="E6">
            <v>4109</v>
          </cell>
          <cell r="F6">
            <v>4105</v>
          </cell>
          <cell r="G6">
            <v>4104</v>
          </cell>
          <cell r="H6">
            <v>4098</v>
          </cell>
          <cell r="I6">
            <v>4077</v>
          </cell>
          <cell r="J6">
            <v>4100</v>
          </cell>
          <cell r="K6">
            <v>4091</v>
          </cell>
          <cell r="L6">
            <v>4073</v>
          </cell>
          <cell r="M6">
            <v>4045</v>
          </cell>
          <cell r="N6">
            <v>4030</v>
          </cell>
          <cell r="O6">
            <v>4035</v>
          </cell>
          <cell r="P6">
            <v>0</v>
          </cell>
          <cell r="T6">
            <v>3</v>
          </cell>
          <cell r="U6" t="str">
            <v>Commercial</v>
          </cell>
          <cell r="V6"/>
          <cell r="W6"/>
          <cell r="X6">
            <v>4011</v>
          </cell>
          <cell r="Y6">
            <v>4009</v>
          </cell>
          <cell r="Z6">
            <v>4021</v>
          </cell>
          <cell r="AA6">
            <v>4030</v>
          </cell>
          <cell r="AB6">
            <v>3999</v>
          </cell>
          <cell r="AC6">
            <v>4012</v>
          </cell>
          <cell r="AD6">
            <v>4027</v>
          </cell>
          <cell r="AE6">
            <v>4010</v>
          </cell>
          <cell r="AF6">
            <v>4015</v>
          </cell>
          <cell r="AG6">
            <v>4037</v>
          </cell>
          <cell r="AH6">
            <v>4049</v>
          </cell>
          <cell r="AI6">
            <v>4058</v>
          </cell>
        </row>
        <row r="7">
          <cell r="A7">
            <v>4</v>
          </cell>
          <cell r="B7" t="str">
            <v xml:space="preserve">Industrial </v>
          </cell>
          <cell r="C7">
            <v>2519</v>
          </cell>
          <cell r="D7">
            <v>27705</v>
          </cell>
          <cell r="E7">
            <v>2484</v>
          </cell>
          <cell r="F7">
            <v>2479</v>
          </cell>
          <cell r="G7">
            <v>2492</v>
          </cell>
          <cell r="H7">
            <v>2503</v>
          </cell>
          <cell r="I7">
            <v>2511</v>
          </cell>
          <cell r="J7">
            <v>2500</v>
          </cell>
          <cell r="K7">
            <v>2518</v>
          </cell>
          <cell r="L7">
            <v>2528</v>
          </cell>
          <cell r="M7">
            <v>2546</v>
          </cell>
          <cell r="N7">
            <v>2570</v>
          </cell>
          <cell r="O7">
            <v>2574</v>
          </cell>
          <cell r="P7">
            <v>0</v>
          </cell>
          <cell r="T7">
            <v>4</v>
          </cell>
          <cell r="U7" t="str">
            <v>Industrial firm</v>
          </cell>
          <cell r="V7"/>
          <cell r="W7"/>
          <cell r="X7">
            <v>2469</v>
          </cell>
          <cell r="Y7">
            <v>2478</v>
          </cell>
          <cell r="Z7">
            <v>2475</v>
          </cell>
          <cell r="AA7">
            <v>2489</v>
          </cell>
          <cell r="AB7">
            <v>2493</v>
          </cell>
          <cell r="AC7">
            <v>2499</v>
          </cell>
          <cell r="AD7">
            <v>2498</v>
          </cell>
          <cell r="AE7">
            <v>2493</v>
          </cell>
          <cell r="AF7">
            <v>2490</v>
          </cell>
          <cell r="AG7">
            <v>2502</v>
          </cell>
          <cell r="AH7">
            <v>2494</v>
          </cell>
          <cell r="AI7">
            <v>2494</v>
          </cell>
        </row>
        <row r="8">
          <cell r="A8">
            <v>5</v>
          </cell>
          <cell r="B8" t="str">
            <v>Other</v>
          </cell>
          <cell r="C8">
            <v>6</v>
          </cell>
          <cell r="D8">
            <v>66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6</v>
          </cell>
          <cell r="J8">
            <v>6</v>
          </cell>
          <cell r="K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0</v>
          </cell>
          <cell r="T8">
            <v>5</v>
          </cell>
          <cell r="U8" t="str">
            <v>Other</v>
          </cell>
          <cell r="V8"/>
          <cell r="W8"/>
          <cell r="X8">
            <v>5</v>
          </cell>
          <cell r="Y8">
            <v>5</v>
          </cell>
          <cell r="Z8">
            <v>5</v>
          </cell>
          <cell r="AA8">
            <v>5</v>
          </cell>
          <cell r="AB8">
            <v>5</v>
          </cell>
          <cell r="AC8">
            <v>5</v>
          </cell>
          <cell r="AD8">
            <v>5</v>
          </cell>
          <cell r="AE8">
            <v>5</v>
          </cell>
          <cell r="AF8">
            <v>5</v>
          </cell>
          <cell r="AG8">
            <v>5</v>
          </cell>
          <cell r="AH8">
            <v>5</v>
          </cell>
          <cell r="AI8">
            <v>6</v>
          </cell>
        </row>
        <row r="9">
          <cell r="A9">
            <v>6</v>
          </cell>
          <cell r="B9" t="str">
            <v>Total customers</v>
          </cell>
          <cell r="C9">
            <v>69486</v>
          </cell>
          <cell r="D9">
            <v>764343</v>
          </cell>
          <cell r="E9">
            <v>68230</v>
          </cell>
          <cell r="F9">
            <v>68444</v>
          </cell>
          <cell r="G9">
            <v>68734</v>
          </cell>
          <cell r="H9">
            <v>69163</v>
          </cell>
          <cell r="I9">
            <v>69218</v>
          </cell>
          <cell r="J9">
            <v>69600</v>
          </cell>
          <cell r="K9">
            <v>69805</v>
          </cell>
          <cell r="L9">
            <v>69911</v>
          </cell>
          <cell r="M9">
            <v>70074</v>
          </cell>
          <cell r="N9">
            <v>70401</v>
          </cell>
          <cell r="O9">
            <v>70763</v>
          </cell>
          <cell r="P9">
            <v>0</v>
          </cell>
          <cell r="T9">
            <v>6</v>
          </cell>
          <cell r="U9" t="str">
            <v>Total customers</v>
          </cell>
          <cell r="V9"/>
          <cell r="W9"/>
          <cell r="X9">
            <v>65250</v>
          </cell>
          <cell r="Y9">
            <v>65409</v>
          </cell>
          <cell r="Z9">
            <v>65630</v>
          </cell>
          <cell r="AA9">
            <v>66024</v>
          </cell>
          <cell r="AB9">
            <v>66061</v>
          </cell>
          <cell r="AC9">
            <v>66320</v>
          </cell>
          <cell r="AD9">
            <v>66740</v>
          </cell>
          <cell r="AE9">
            <v>66828</v>
          </cell>
          <cell r="AF9">
            <v>67040</v>
          </cell>
          <cell r="AG9">
            <v>67414</v>
          </cell>
          <cell r="AH9">
            <v>67745</v>
          </cell>
          <cell r="AI9">
            <v>67943</v>
          </cell>
        </row>
        <row r="10">
          <cell r="A10">
            <v>7</v>
          </cell>
          <cell r="H10"/>
          <cell r="T10">
            <v>7</v>
          </cell>
          <cell r="X10"/>
        </row>
        <row r="11">
          <cell r="A11">
            <v>8</v>
          </cell>
          <cell r="B11" t="str">
            <v>Volume - 2021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14534731.850000186</v>
          </cell>
          <cell r="D12">
            <v>1415398.9531600142</v>
          </cell>
          <cell r="E12">
            <v>246112.77436946263</v>
          </cell>
          <cell r="F12">
            <v>189930.38660044645</v>
          </cell>
          <cell r="G12">
            <v>162957.97838153777</v>
          </cell>
          <cell r="H12">
            <v>155600.33985782354</v>
          </cell>
          <cell r="I12">
            <v>118191.77135066803</v>
          </cell>
          <cell r="J12">
            <v>94235.249780896789</v>
          </cell>
          <cell r="K12">
            <v>86900.241503557671</v>
          </cell>
          <cell r="L12">
            <v>74633.701431496025</v>
          </cell>
          <cell r="M12">
            <v>81752.014801834201</v>
          </cell>
          <cell r="N12">
            <v>85122.411140327924</v>
          </cell>
          <cell r="O12">
            <v>119962.08394196286</v>
          </cell>
          <cell r="P12">
            <v>0</v>
          </cell>
          <cell r="T12">
            <v>9</v>
          </cell>
          <cell r="U12" t="str">
            <v>Residential</v>
          </cell>
          <cell r="V12"/>
          <cell r="W12">
            <v>1493149.0690427856</v>
          </cell>
          <cell r="X12">
            <v>187006.33752069631</v>
          </cell>
          <cell r="Y12">
            <v>165882.28551952788</v>
          </cell>
          <cell r="Z12">
            <v>150502.74515532257</v>
          </cell>
          <cell r="AA12">
            <v>138686.94614860538</v>
          </cell>
          <cell r="AB12">
            <v>129360.65731814495</v>
          </cell>
          <cell r="AC12">
            <v>98444.498003705303</v>
          </cell>
          <cell r="AD12">
            <v>84813.589443960169</v>
          </cell>
          <cell r="AE12">
            <v>76174.554484373904</v>
          </cell>
          <cell r="AF12">
            <v>75893.976044407915</v>
          </cell>
          <cell r="AG12">
            <v>82619.856850721</v>
          </cell>
          <cell r="AH12">
            <v>116736.01324374712</v>
          </cell>
          <cell r="AI12">
            <v>187027.60930957308</v>
          </cell>
        </row>
        <row r="13">
          <cell r="A13">
            <v>10</v>
          </cell>
          <cell r="B13" t="str">
            <v>Commercial</v>
          </cell>
          <cell r="C13">
            <v>14761283.34999999</v>
          </cell>
          <cell r="D13">
            <v>1437460.6436848759</v>
          </cell>
          <cell r="E13">
            <v>178511.01373064553</v>
          </cell>
          <cell r="F13">
            <v>158617.5947025026</v>
          </cell>
          <cell r="G13">
            <v>144019.16837082483</v>
          </cell>
          <cell r="H13">
            <v>155206.57415522431</v>
          </cell>
          <cell r="I13">
            <v>129249.23945856452</v>
          </cell>
          <cell r="J13">
            <v>113952.8133216477</v>
          </cell>
          <cell r="K13">
            <v>117130.46450482022</v>
          </cell>
          <cell r="L13">
            <v>102590.84818385424</v>
          </cell>
          <cell r="M13">
            <v>105798.23351835614</v>
          </cell>
          <cell r="N13">
            <v>109506.15736683215</v>
          </cell>
          <cell r="O13">
            <v>122878.53637160368</v>
          </cell>
          <cell r="P13">
            <v>0</v>
          </cell>
          <cell r="T13">
            <v>10</v>
          </cell>
          <cell r="U13" t="str">
            <v>Commercial</v>
          </cell>
          <cell r="W13">
            <v>1458225.1738241306</v>
          </cell>
          <cell r="X13">
            <v>184037.55088129322</v>
          </cell>
          <cell r="Y13">
            <v>171308.71652546508</v>
          </cell>
          <cell r="Z13">
            <v>150625.82432564016</v>
          </cell>
          <cell r="AA13">
            <v>100145.73570941669</v>
          </cell>
          <cell r="AB13">
            <v>95571.088713603996</v>
          </cell>
          <cell r="AC13">
            <v>93496.495277047434</v>
          </cell>
          <cell r="AD13">
            <v>101193.89521861907</v>
          </cell>
          <cell r="AE13">
            <v>99001.995325737735</v>
          </cell>
          <cell r="AF13">
            <v>94384.104586619767</v>
          </cell>
          <cell r="AG13">
            <v>102132.78021228939</v>
          </cell>
          <cell r="AH13">
            <v>120590.14314928421</v>
          </cell>
          <cell r="AI13">
            <v>145736.84389911377</v>
          </cell>
        </row>
        <row r="14">
          <cell r="A14">
            <v>11</v>
          </cell>
          <cell r="B14" t="str">
            <v xml:space="preserve">Industrial </v>
          </cell>
          <cell r="C14">
            <v>45094932.260000013</v>
          </cell>
          <cell r="D14">
            <v>4391365.4942058632</v>
          </cell>
          <cell r="E14">
            <v>448497.35514655767</v>
          </cell>
          <cell r="F14">
            <v>401255.60327198403</v>
          </cell>
          <cell r="G14">
            <v>420244.77845944121</v>
          </cell>
          <cell r="H14">
            <v>409365.26438796381</v>
          </cell>
          <cell r="I14">
            <v>398907.09416691004</v>
          </cell>
          <cell r="J14">
            <v>364016.53812445235</v>
          </cell>
          <cell r="K14">
            <v>384331.40033109393</v>
          </cell>
          <cell r="L14">
            <v>368231.3857240238</v>
          </cell>
          <cell r="M14">
            <v>385286.86727042519</v>
          </cell>
          <cell r="N14">
            <v>396971.30002921401</v>
          </cell>
          <cell r="O14">
            <v>414257.90729379689</v>
          </cell>
          <cell r="P14">
            <v>0</v>
          </cell>
          <cell r="T14">
            <v>11</v>
          </cell>
          <cell r="U14" t="str">
            <v>Industrial firm</v>
          </cell>
          <cell r="W14">
            <v>4531784.5661700256</v>
          </cell>
          <cell r="X14">
            <v>466783.26808842132</v>
          </cell>
          <cell r="Y14">
            <v>434698.76716330659</v>
          </cell>
          <cell r="Z14">
            <v>426169.0583308991</v>
          </cell>
          <cell r="AA14">
            <v>334934.9031064366</v>
          </cell>
          <cell r="AB14">
            <v>326666.28493524203</v>
          </cell>
          <cell r="AC14">
            <v>334280.80923166836</v>
          </cell>
          <cell r="AD14">
            <v>357552.67017236346</v>
          </cell>
          <cell r="AE14">
            <v>345907.6648164377</v>
          </cell>
          <cell r="AF14">
            <v>348323.68292920449</v>
          </cell>
          <cell r="AG14">
            <v>358704.40646606288</v>
          </cell>
          <cell r="AH14">
            <v>379388.4107508033</v>
          </cell>
          <cell r="AI14">
            <v>418374.64017918002</v>
          </cell>
        </row>
        <row r="15">
          <cell r="A15">
            <v>12</v>
          </cell>
          <cell r="B15" t="str">
            <v>Other</v>
          </cell>
          <cell r="C15">
            <v>30265070.479000006</v>
          </cell>
          <cell r="D15">
            <v>2947226.6509884121</v>
          </cell>
          <cell r="E15">
            <v>245462.17109747784</v>
          </cell>
          <cell r="F15">
            <v>260130.29915278993</v>
          </cell>
          <cell r="G15">
            <v>251846.91469471226</v>
          </cell>
          <cell r="H15">
            <v>222409.39526730939</v>
          </cell>
          <cell r="I15">
            <v>255775.44658681465</v>
          </cell>
          <cell r="J15">
            <v>261838.29925017044</v>
          </cell>
          <cell r="K15">
            <v>262875.82997370732</v>
          </cell>
          <cell r="L15">
            <v>277588.8781770377</v>
          </cell>
          <cell r="M15">
            <v>264657.67036712437</v>
          </cell>
          <cell r="N15">
            <v>340686.03505696764</v>
          </cell>
          <cell r="O15">
            <v>303955.71136430034</v>
          </cell>
          <cell r="P15">
            <v>0</v>
          </cell>
          <cell r="T15">
            <v>12</v>
          </cell>
          <cell r="U15" t="str">
            <v>Other</v>
          </cell>
          <cell r="W15">
            <v>2897002.6248904471</v>
          </cell>
          <cell r="X15">
            <v>215456.01538611352</v>
          </cell>
          <cell r="Y15">
            <v>167552.45505891516</v>
          </cell>
          <cell r="Z15">
            <v>190379.93972149189</v>
          </cell>
          <cell r="AA15">
            <v>159480.02843509591</v>
          </cell>
          <cell r="AB15">
            <v>245769.07887817704</v>
          </cell>
          <cell r="AC15">
            <v>250459.42672119968</v>
          </cell>
          <cell r="AD15">
            <v>258839.77855682155</v>
          </cell>
          <cell r="AE15">
            <v>193978.50598889863</v>
          </cell>
          <cell r="AF15">
            <v>266035.14363618661</v>
          </cell>
          <cell r="AG15">
            <v>300841.65157269454</v>
          </cell>
          <cell r="AH15">
            <v>282586.74544746324</v>
          </cell>
          <cell r="AI15">
            <v>365623.8554873892</v>
          </cell>
        </row>
        <row r="16">
          <cell r="A16">
            <v>13</v>
          </cell>
          <cell r="B16" t="str">
            <v>Total Deliveries</v>
          </cell>
          <cell r="C16"/>
          <cell r="D16">
            <v>10191451.742039166</v>
          </cell>
          <cell r="E16">
            <v>1118583.3143441437</v>
          </cell>
          <cell r="F16">
            <v>1009933.883727723</v>
          </cell>
          <cell r="G16">
            <v>979068.83990651602</v>
          </cell>
          <cell r="H16">
            <v>942581.57366832101</v>
          </cell>
          <cell r="I16">
            <v>902123.55156295723</v>
          </cell>
          <cell r="J16">
            <v>834042.90047716734</v>
          </cell>
          <cell r="K16">
            <v>851237.93631317921</v>
          </cell>
          <cell r="L16">
            <v>823044.8135164117</v>
          </cell>
          <cell r="M16">
            <v>837494.78595773992</v>
          </cell>
          <cell r="N16">
            <v>932285.9035933417</v>
          </cell>
          <cell r="O16">
            <v>961054.23897166376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10380161.433927389</v>
          </cell>
          <cell r="X16">
            <v>1053283.1718765243</v>
          </cell>
          <cell r="Y16">
            <v>939442.22426721477</v>
          </cell>
          <cell r="Z16">
            <v>917677.56753335369</v>
          </cell>
          <cell r="AA16">
            <v>733247.61339955451</v>
          </cell>
          <cell r="AB16">
            <v>797367.10984516796</v>
          </cell>
          <cell r="AC16">
            <v>776681.22923362069</v>
          </cell>
          <cell r="AD16">
            <v>802399.93339176418</v>
          </cell>
          <cell r="AE16">
            <v>715062.72061544796</v>
          </cell>
          <cell r="AF16">
            <v>784636.90719641885</v>
          </cell>
          <cell r="AG16">
            <v>844298.69510176778</v>
          </cell>
          <cell r="AH16">
            <v>899301.3125912979</v>
          </cell>
          <cell r="AI16">
            <v>1116762.9488752561</v>
          </cell>
        </row>
        <row r="17">
          <cell r="A17">
            <v>14</v>
          </cell>
          <cell r="E17"/>
          <cell r="F17"/>
          <cell r="G17"/>
          <cell r="H17"/>
          <cell r="I17"/>
          <cell r="T17">
            <v>14</v>
          </cell>
          <cell r="V17"/>
          <cell r="W17"/>
          <cell r="X17"/>
          <cell r="Y17"/>
          <cell r="Z17"/>
          <cell r="AA17"/>
          <cell r="AB17"/>
        </row>
        <row r="18">
          <cell r="A18">
            <v>15</v>
          </cell>
          <cell r="B18" t="str">
            <v>DATA INPUT AREA</v>
          </cell>
          <cell r="T18">
            <v>15</v>
          </cell>
          <cell r="X18"/>
        </row>
        <row r="19">
          <cell r="A19">
            <v>16</v>
          </cell>
          <cell r="B19" t="str">
            <v>FPU_NG</v>
          </cell>
          <cell r="D19"/>
          <cell r="T19">
            <v>16</v>
          </cell>
          <cell r="U19" t="str">
            <v>FPU_NG</v>
          </cell>
          <cell r="X19"/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61654</v>
          </cell>
          <cell r="D21">
            <v>678191</v>
          </cell>
          <cell r="E21">
            <v>60396</v>
          </cell>
          <cell r="F21">
            <v>60611</v>
          </cell>
          <cell r="G21">
            <v>60895</v>
          </cell>
          <cell r="H21">
            <v>61315</v>
          </cell>
          <cell r="I21">
            <v>61400</v>
          </cell>
          <cell r="J21">
            <v>61772</v>
          </cell>
          <cell r="K21">
            <v>61962</v>
          </cell>
          <cell r="L21">
            <v>62082</v>
          </cell>
          <cell r="M21">
            <v>62252</v>
          </cell>
          <cell r="N21">
            <v>62570</v>
          </cell>
          <cell r="O21">
            <v>62936</v>
          </cell>
          <cell r="P21"/>
          <cell r="T21">
            <v>18</v>
          </cell>
          <cell r="U21" t="str">
            <v>Residential</v>
          </cell>
          <cell r="V21"/>
          <cell r="W21"/>
          <cell r="X21">
            <v>57524</v>
          </cell>
          <cell r="Y21">
            <v>57679</v>
          </cell>
          <cell r="Z21">
            <v>57893</v>
          </cell>
          <cell r="AA21">
            <v>58271</v>
          </cell>
          <cell r="AB21">
            <v>58341</v>
          </cell>
          <cell r="AC21">
            <v>58588</v>
          </cell>
          <cell r="AD21">
            <v>58988</v>
          </cell>
          <cell r="AE21">
            <v>59096</v>
          </cell>
          <cell r="AF21">
            <v>59303</v>
          </cell>
          <cell r="AG21">
            <v>59641</v>
          </cell>
          <cell r="AH21">
            <v>59970</v>
          </cell>
          <cell r="AI21">
            <v>60159</v>
          </cell>
        </row>
        <row r="22">
          <cell r="A22">
            <v>19</v>
          </cell>
          <cell r="B22" t="str">
            <v>Commercial Small</v>
          </cell>
          <cell r="C22">
            <v>3335</v>
          </cell>
          <cell r="D22">
            <v>36682</v>
          </cell>
          <cell r="E22">
            <v>3352</v>
          </cell>
          <cell r="F22">
            <v>3345</v>
          </cell>
          <cell r="G22">
            <v>3347</v>
          </cell>
          <cell r="H22">
            <v>3345</v>
          </cell>
          <cell r="I22">
            <v>3341</v>
          </cell>
          <cell r="J22">
            <v>3358</v>
          </cell>
          <cell r="K22">
            <v>3349</v>
          </cell>
          <cell r="L22">
            <v>3339</v>
          </cell>
          <cell r="M22">
            <v>3313</v>
          </cell>
          <cell r="N22">
            <v>3297</v>
          </cell>
          <cell r="O22">
            <v>3296</v>
          </cell>
          <cell r="P22"/>
          <cell r="T22">
            <v>19</v>
          </cell>
          <cell r="U22" t="str">
            <v>Commercial Small</v>
          </cell>
          <cell r="X22">
            <v>3272</v>
          </cell>
          <cell r="Y22">
            <v>3262</v>
          </cell>
          <cell r="Z22">
            <v>3269</v>
          </cell>
          <cell r="AA22">
            <v>3281</v>
          </cell>
          <cell r="AB22">
            <v>3259</v>
          </cell>
          <cell r="AC22">
            <v>3277</v>
          </cell>
          <cell r="AD22">
            <v>3289</v>
          </cell>
          <cell r="AE22">
            <v>3279</v>
          </cell>
          <cell r="AF22">
            <v>3283</v>
          </cell>
          <cell r="AG22">
            <v>3301</v>
          </cell>
          <cell r="AH22">
            <v>3308</v>
          </cell>
          <cell r="AI22">
            <v>3313</v>
          </cell>
        </row>
        <row r="23">
          <cell r="A23">
            <v>20</v>
          </cell>
          <cell r="B23" t="str">
            <v>Commercial Large</v>
          </cell>
          <cell r="C23">
            <v>658</v>
          </cell>
          <cell r="D23">
            <v>7238</v>
          </cell>
          <cell r="E23">
            <v>670</v>
          </cell>
          <cell r="F23">
            <v>673</v>
          </cell>
          <cell r="G23">
            <v>670</v>
          </cell>
          <cell r="H23">
            <v>665</v>
          </cell>
          <cell r="I23">
            <v>649</v>
          </cell>
          <cell r="J23">
            <v>655</v>
          </cell>
          <cell r="K23">
            <v>654</v>
          </cell>
          <cell r="L23">
            <v>650</v>
          </cell>
          <cell r="M23">
            <v>647</v>
          </cell>
          <cell r="N23">
            <v>649</v>
          </cell>
          <cell r="O23">
            <v>656</v>
          </cell>
          <cell r="P23"/>
          <cell r="T23">
            <v>20</v>
          </cell>
          <cell r="U23" t="str">
            <v>Commercial Large</v>
          </cell>
          <cell r="X23">
            <v>649</v>
          </cell>
          <cell r="Y23">
            <v>658</v>
          </cell>
          <cell r="Z23">
            <v>664</v>
          </cell>
          <cell r="AA23">
            <v>661</v>
          </cell>
          <cell r="AB23">
            <v>652</v>
          </cell>
          <cell r="AC23">
            <v>647</v>
          </cell>
          <cell r="AD23">
            <v>650</v>
          </cell>
          <cell r="AE23">
            <v>643</v>
          </cell>
          <cell r="AF23">
            <v>644</v>
          </cell>
          <cell r="AG23">
            <v>647</v>
          </cell>
          <cell r="AH23">
            <v>652</v>
          </cell>
          <cell r="AI23">
            <v>657</v>
          </cell>
        </row>
        <row r="24">
          <cell r="A24">
            <v>21</v>
          </cell>
          <cell r="B24" t="str">
            <v>Outdoor Lights</v>
          </cell>
          <cell r="C24">
            <v>29</v>
          </cell>
          <cell r="D24">
            <v>321</v>
          </cell>
          <cell r="E24">
            <v>31</v>
          </cell>
          <cell r="F24">
            <v>31</v>
          </cell>
          <cell r="G24">
            <v>31</v>
          </cell>
          <cell r="H24">
            <v>31</v>
          </cell>
          <cell r="I24">
            <v>29</v>
          </cell>
          <cell r="J24">
            <v>29</v>
          </cell>
          <cell r="K24">
            <v>29</v>
          </cell>
          <cell r="L24">
            <v>27</v>
          </cell>
          <cell r="M24">
            <v>27</v>
          </cell>
          <cell r="N24">
            <v>27</v>
          </cell>
          <cell r="O24">
            <v>29</v>
          </cell>
          <cell r="P24"/>
          <cell r="T24">
            <v>21</v>
          </cell>
          <cell r="U24" t="str">
            <v>Outdoor Lights</v>
          </cell>
          <cell r="X24">
            <v>34</v>
          </cell>
          <cell r="Y24">
            <v>34</v>
          </cell>
          <cell r="Z24">
            <v>32</v>
          </cell>
          <cell r="AA24">
            <v>32</v>
          </cell>
          <cell r="AB24">
            <v>32</v>
          </cell>
          <cell r="AC24">
            <v>32</v>
          </cell>
          <cell r="AD24">
            <v>32</v>
          </cell>
          <cell r="AE24">
            <v>32</v>
          </cell>
          <cell r="AF24">
            <v>32</v>
          </cell>
          <cell r="AG24">
            <v>33</v>
          </cell>
          <cell r="AH24">
            <v>33</v>
          </cell>
          <cell r="AI24">
            <v>31</v>
          </cell>
        </row>
        <row r="25">
          <cell r="A25">
            <v>22</v>
          </cell>
          <cell r="B25" t="str">
            <v>Interdepartmental/Special Contracts</v>
          </cell>
          <cell r="C25">
            <v>6</v>
          </cell>
          <cell r="D25">
            <v>66</v>
          </cell>
          <cell r="E25">
            <v>6</v>
          </cell>
          <cell r="F25">
            <v>6</v>
          </cell>
          <cell r="G25">
            <v>6</v>
          </cell>
          <cell r="H25">
            <v>6</v>
          </cell>
          <cell r="I25">
            <v>6</v>
          </cell>
          <cell r="J25">
            <v>6</v>
          </cell>
          <cell r="K25">
            <v>6</v>
          </cell>
          <cell r="L25">
            <v>6</v>
          </cell>
          <cell r="M25">
            <v>6</v>
          </cell>
          <cell r="N25">
            <v>6</v>
          </cell>
          <cell r="O25">
            <v>6</v>
          </cell>
          <cell r="P25"/>
          <cell r="T25">
            <v>22</v>
          </cell>
          <cell r="U25" t="str">
            <v>Interdepartmental/Special Contracts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  <cell r="AF25">
            <v>5</v>
          </cell>
          <cell r="AG25">
            <v>5</v>
          </cell>
          <cell r="AH25">
            <v>5</v>
          </cell>
          <cell r="AI25">
            <v>6</v>
          </cell>
        </row>
        <row r="26">
          <cell r="A26">
            <v>23</v>
          </cell>
          <cell r="B26" t="str">
            <v>Commercial Small Transp</v>
          </cell>
          <cell r="C26">
            <v>1218</v>
          </cell>
          <cell r="D26">
            <v>13403</v>
          </cell>
          <cell r="E26">
            <v>1195</v>
          </cell>
          <cell r="F26">
            <v>1197</v>
          </cell>
          <cell r="G26">
            <v>1200</v>
          </cell>
          <cell r="H26">
            <v>1207</v>
          </cell>
          <cell r="I26">
            <v>1210</v>
          </cell>
          <cell r="J26">
            <v>1205</v>
          </cell>
          <cell r="K26">
            <v>1214</v>
          </cell>
          <cell r="L26">
            <v>1222</v>
          </cell>
          <cell r="M26">
            <v>1235</v>
          </cell>
          <cell r="N26">
            <v>1257</v>
          </cell>
          <cell r="O26">
            <v>1261</v>
          </cell>
          <cell r="P26"/>
          <cell r="T26">
            <v>23</v>
          </cell>
          <cell r="U26" t="str">
            <v>Commercial Small Transp</v>
          </cell>
          <cell r="X26">
            <v>1175</v>
          </cell>
          <cell r="Y26">
            <v>1185</v>
          </cell>
          <cell r="Z26">
            <v>1185</v>
          </cell>
          <cell r="AA26">
            <v>1189</v>
          </cell>
          <cell r="AB26">
            <v>1188</v>
          </cell>
          <cell r="AC26">
            <v>1192</v>
          </cell>
          <cell r="AD26">
            <v>1196</v>
          </cell>
          <cell r="AE26">
            <v>1195</v>
          </cell>
          <cell r="AF26">
            <v>1197</v>
          </cell>
          <cell r="AG26">
            <v>1203</v>
          </cell>
          <cell r="AH26">
            <v>1201</v>
          </cell>
          <cell r="AI26">
            <v>1200</v>
          </cell>
        </row>
        <row r="27">
          <cell r="A27">
            <v>24</v>
          </cell>
          <cell r="B27" t="str">
            <v>Commercial Large Transp</v>
          </cell>
          <cell r="C27">
            <v>1272</v>
          </cell>
          <cell r="D27">
            <v>13987</v>
          </cell>
          <cell r="E27">
            <v>1259</v>
          </cell>
          <cell r="F27">
            <v>1254</v>
          </cell>
          <cell r="G27">
            <v>1263</v>
          </cell>
          <cell r="H27">
            <v>1269</v>
          </cell>
          <cell r="I27">
            <v>1273</v>
          </cell>
          <cell r="J27">
            <v>1267</v>
          </cell>
          <cell r="K27">
            <v>1275</v>
          </cell>
          <cell r="L27">
            <v>1277</v>
          </cell>
          <cell r="M27">
            <v>1282</v>
          </cell>
          <cell r="N27">
            <v>1284</v>
          </cell>
          <cell r="O27">
            <v>1284</v>
          </cell>
          <cell r="P27"/>
          <cell r="T27">
            <v>24</v>
          </cell>
          <cell r="U27" t="str">
            <v>Commercial Large Transp</v>
          </cell>
          <cell r="X27">
            <v>1264</v>
          </cell>
          <cell r="Y27">
            <v>1264</v>
          </cell>
          <cell r="Z27">
            <v>1261</v>
          </cell>
          <cell r="AA27">
            <v>1271</v>
          </cell>
          <cell r="AB27">
            <v>1276</v>
          </cell>
          <cell r="AC27">
            <v>1278</v>
          </cell>
          <cell r="AD27">
            <v>1273</v>
          </cell>
          <cell r="AE27">
            <v>1269</v>
          </cell>
          <cell r="AF27">
            <v>1264</v>
          </cell>
          <cell r="AG27">
            <v>1269</v>
          </cell>
          <cell r="AH27">
            <v>1264</v>
          </cell>
          <cell r="AI27">
            <v>1264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198</v>
          </cell>
          <cell r="E28">
            <v>18</v>
          </cell>
          <cell r="F28">
            <v>18</v>
          </cell>
          <cell r="G28">
            <v>19</v>
          </cell>
          <cell r="H28">
            <v>17</v>
          </cell>
          <cell r="I28">
            <v>18</v>
          </cell>
          <cell r="J28">
            <v>18</v>
          </cell>
          <cell r="K28">
            <v>18</v>
          </cell>
          <cell r="L28">
            <v>18</v>
          </cell>
          <cell r="M28">
            <v>18</v>
          </cell>
          <cell r="N28">
            <v>18</v>
          </cell>
          <cell r="O28">
            <v>18</v>
          </cell>
          <cell r="P28"/>
          <cell r="T28">
            <v>25</v>
          </cell>
          <cell r="U28" t="str">
            <v>Interruptible Transp</v>
          </cell>
          <cell r="X28">
            <v>19</v>
          </cell>
          <cell r="Y28">
            <v>18</v>
          </cell>
          <cell r="Z28">
            <v>18</v>
          </cell>
          <cell r="AA28">
            <v>18</v>
          </cell>
          <cell r="AB28">
            <v>18</v>
          </cell>
          <cell r="AC28">
            <v>18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  <cell r="AI28">
            <v>18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/>
          <cell r="AC29"/>
          <cell r="AD29"/>
          <cell r="AE29"/>
          <cell r="AF29"/>
          <cell r="AG29"/>
          <cell r="AH29"/>
          <cell r="AI29"/>
        </row>
        <row r="30">
          <cell r="A30">
            <v>27</v>
          </cell>
          <cell r="D30">
            <v>750086</v>
          </cell>
          <cell r="E30">
            <v>66927</v>
          </cell>
          <cell r="F30">
            <v>67135</v>
          </cell>
          <cell r="G30">
            <v>67431</v>
          </cell>
          <cell r="H30">
            <v>67855</v>
          </cell>
          <cell r="I30">
            <v>67926</v>
          </cell>
          <cell r="J30">
            <v>68310</v>
          </cell>
          <cell r="K30">
            <v>68507</v>
          </cell>
          <cell r="L30">
            <v>68621</v>
          </cell>
          <cell r="M30">
            <v>68780</v>
          </cell>
          <cell r="N30">
            <v>69108</v>
          </cell>
          <cell r="O30">
            <v>69486</v>
          </cell>
          <cell r="P30">
            <v>0</v>
          </cell>
          <cell r="T30">
            <v>27</v>
          </cell>
          <cell r="V30"/>
          <cell r="W30"/>
          <cell r="X30">
            <v>63942</v>
          </cell>
          <cell r="Y30">
            <v>64105</v>
          </cell>
          <cell r="Z30">
            <v>64327</v>
          </cell>
          <cell r="AA30">
            <v>64728</v>
          </cell>
          <cell r="AB30">
            <v>64771</v>
          </cell>
          <cell r="AC30">
            <v>65037</v>
          </cell>
          <cell r="AD30">
            <v>65451</v>
          </cell>
          <cell r="AE30">
            <v>65537</v>
          </cell>
          <cell r="AF30">
            <v>65746</v>
          </cell>
          <cell r="AG30">
            <v>66117</v>
          </cell>
          <cell r="AH30">
            <v>66451</v>
          </cell>
          <cell r="AI30">
            <v>66648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  <cell r="V31"/>
          <cell r="W31"/>
          <cell r="X31"/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C33"/>
          <cell r="D33">
            <v>1399446.242087855</v>
          </cell>
          <cell r="E33">
            <v>244012.33907878192</v>
          </cell>
          <cell r="F33">
            <v>188172.70425552485</v>
          </cell>
          <cell r="G33">
            <v>161333.81634044324</v>
          </cell>
          <cell r="H33">
            <v>154010.59304703376</v>
          </cell>
          <cell r="I33">
            <v>116849.32417957055</v>
          </cell>
          <cell r="J33">
            <v>92913.39468302943</v>
          </cell>
          <cell r="K33">
            <v>85586.774758986634</v>
          </cell>
          <cell r="L33">
            <v>73495.182588375945</v>
          </cell>
          <cell r="M33">
            <v>80429.007693060223</v>
          </cell>
          <cell r="N33">
            <v>83919.735125136576</v>
          </cell>
          <cell r="O33">
            <v>118723.37033791182</v>
          </cell>
          <cell r="P33"/>
          <cell r="T33">
            <v>30</v>
          </cell>
          <cell r="U33" t="str">
            <v>Residential</v>
          </cell>
          <cell r="V33"/>
          <cell r="W33"/>
          <cell r="X33">
            <v>185034.67620995524</v>
          </cell>
          <cell r="Y33">
            <v>164189.55984029916</v>
          </cell>
          <cell r="Z33">
            <v>148852.11412990626</v>
          </cell>
          <cell r="AA33">
            <v>137043.39857824799</v>
          </cell>
          <cell r="AB33">
            <v>127858.19748758695</v>
          </cell>
          <cell r="AC33">
            <v>97118.749634828098</v>
          </cell>
          <cell r="AD33">
            <v>83379.371896000288</v>
          </cell>
          <cell r="AE33">
            <v>74955.720128545683</v>
          </cell>
          <cell r="AF33">
            <v>74579.028142956944</v>
          </cell>
          <cell r="AG33">
            <v>81314.915765902624</v>
          </cell>
          <cell r="AH33">
            <v>115200.52488071274</v>
          </cell>
          <cell r="AI33">
            <v>185101.82880514226</v>
          </cell>
        </row>
        <row r="34">
          <cell r="A34">
            <v>31</v>
          </cell>
          <cell r="B34" t="str">
            <v>Commercial Small</v>
          </cell>
          <cell r="C34"/>
          <cell r="D34">
            <v>672269.09241406107</v>
          </cell>
          <cell r="E34">
            <v>86077.98227675521</v>
          </cell>
          <cell r="F34">
            <v>72334.34024734635</v>
          </cell>
          <cell r="G34">
            <v>68929.458564611938</v>
          </cell>
          <cell r="H34">
            <v>67348.441912552269</v>
          </cell>
          <cell r="I34">
            <v>60128.828513000284</v>
          </cell>
          <cell r="J34">
            <v>52580.269743889432</v>
          </cell>
          <cell r="K34">
            <v>53600.101275684043</v>
          </cell>
          <cell r="L34">
            <v>48206.933489141957</v>
          </cell>
          <cell r="M34">
            <v>51181.440257084345</v>
          </cell>
          <cell r="N34">
            <v>52143.013925406514</v>
          </cell>
          <cell r="O34">
            <v>59738.282208588847</v>
          </cell>
          <cell r="P34"/>
          <cell r="T34">
            <v>31</v>
          </cell>
          <cell r="U34" t="str">
            <v>Commercial Small</v>
          </cell>
          <cell r="X34">
            <v>85286.113545622822</v>
          </cell>
          <cell r="Y34">
            <v>80333.396630636038</v>
          </cell>
          <cell r="Z34">
            <v>71863.493037296561</v>
          </cell>
          <cell r="AA34">
            <v>46382.974973220385</v>
          </cell>
          <cell r="AB34">
            <v>41554.353880611583</v>
          </cell>
          <cell r="AC34">
            <v>42140.669003797848</v>
          </cell>
          <cell r="AD34">
            <v>44759.92404323689</v>
          </cell>
          <cell r="AE34">
            <v>43137.550881293231</v>
          </cell>
          <cell r="AF34">
            <v>43461.377933586373</v>
          </cell>
          <cell r="AG34">
            <v>47311.879442983729</v>
          </cell>
          <cell r="AH34">
            <v>55781.263998441893</v>
          </cell>
          <cell r="AI34">
            <v>70161.806407634605</v>
          </cell>
        </row>
        <row r="35">
          <cell r="A35">
            <v>32</v>
          </cell>
          <cell r="B35" t="str">
            <v>Commercial Large</v>
          </cell>
          <cell r="C35"/>
          <cell r="D35">
            <v>729780.03700457665</v>
          </cell>
          <cell r="E35">
            <v>88362.421852176412</v>
          </cell>
          <cell r="F35">
            <v>82422.56402765603</v>
          </cell>
          <cell r="G35">
            <v>71660.415814587614</v>
          </cell>
          <cell r="H35">
            <v>84279.062226117356</v>
          </cell>
          <cell r="I35">
            <v>65849.06319992202</v>
          </cell>
          <cell r="J35">
            <v>58261.775245885641</v>
          </cell>
          <cell r="K35">
            <v>61370.668029993139</v>
          </cell>
          <cell r="L35">
            <v>51313.12299152794</v>
          </cell>
          <cell r="M35">
            <v>51971.003018794428</v>
          </cell>
          <cell r="N35">
            <v>54561.467523614738</v>
          </cell>
          <cell r="O35">
            <v>59728.473074301241</v>
          </cell>
          <cell r="P35"/>
          <cell r="T35">
            <v>32</v>
          </cell>
          <cell r="U35" t="str">
            <v>Commercial Large</v>
          </cell>
          <cell r="X35">
            <v>94914.480475216638</v>
          </cell>
          <cell r="Y35">
            <v>86707.929691303871</v>
          </cell>
          <cell r="Z35">
            <v>74835.514655760097</v>
          </cell>
          <cell r="AA35">
            <v>50691.309767260675</v>
          </cell>
          <cell r="AB35">
            <v>51858.077709611382</v>
          </cell>
          <cell r="AC35">
            <v>49162.087837179868</v>
          </cell>
          <cell r="AD35">
            <v>54061.077027948166</v>
          </cell>
          <cell r="AE35">
            <v>53779.985392930241</v>
          </cell>
          <cell r="AF35">
            <v>48651.451942740277</v>
          </cell>
          <cell r="AG35">
            <v>52271.670074982925</v>
          </cell>
          <cell r="AH35">
            <v>61721.529847112637</v>
          </cell>
          <cell r="AI35">
            <v>71601.658389327014</v>
          </cell>
        </row>
        <row r="36">
          <cell r="A36">
            <v>33</v>
          </cell>
          <cell r="B36" t="str">
            <v>Outdoor Lights</v>
          </cell>
          <cell r="C36"/>
          <cell r="D36">
            <v>8972.6769889960069</v>
          </cell>
          <cell r="E36">
            <v>885.59937676502091</v>
          </cell>
          <cell r="F36">
            <v>845.86814684974183</v>
          </cell>
          <cell r="G36">
            <v>845.86814684974183</v>
          </cell>
          <cell r="H36">
            <v>845.86814684974183</v>
          </cell>
          <cell r="I36">
            <v>840.02531892102434</v>
          </cell>
          <cell r="J36">
            <v>840.02531892102434</v>
          </cell>
          <cell r="K36">
            <v>840.02531892102434</v>
          </cell>
          <cell r="L36">
            <v>767.57425260492732</v>
          </cell>
          <cell r="M36">
            <v>767.57425260492732</v>
          </cell>
          <cell r="N36">
            <v>767.57425260492732</v>
          </cell>
          <cell r="O36">
            <v>726.67445710390496</v>
          </cell>
          <cell r="P36"/>
          <cell r="T36">
            <v>33</v>
          </cell>
          <cell r="U36" t="str">
            <v>Outdoor Lights</v>
          </cell>
          <cell r="X36">
            <v>816.65400720615435</v>
          </cell>
          <cell r="Y36">
            <v>954.54474632388735</v>
          </cell>
          <cell r="Z36">
            <v>885.59937676502091</v>
          </cell>
          <cell r="AA36">
            <v>885.59937676502091</v>
          </cell>
          <cell r="AB36">
            <v>885.59937676502091</v>
          </cell>
          <cell r="AC36">
            <v>885.59937676502091</v>
          </cell>
          <cell r="AD36">
            <v>885.59937676502091</v>
          </cell>
          <cell r="AE36">
            <v>885.59937676502091</v>
          </cell>
          <cell r="AF36">
            <v>885.59937676502091</v>
          </cell>
          <cell r="AG36">
            <v>885.59937676502091</v>
          </cell>
          <cell r="AH36">
            <v>885.59937676502091</v>
          </cell>
          <cell r="AI36">
            <v>885.59937676502091</v>
          </cell>
        </row>
        <row r="37">
          <cell r="A37">
            <v>34</v>
          </cell>
          <cell r="B37" t="str">
            <v>Interdepartmental/Special Contracts</v>
          </cell>
          <cell r="C37"/>
          <cell r="D37">
            <v>3012044.9449800369</v>
          </cell>
          <cell r="E37">
            <v>255470.28727237316</v>
          </cell>
          <cell r="F37">
            <v>257659.84321745054</v>
          </cell>
          <cell r="G37">
            <v>270309.37092219305</v>
          </cell>
          <cell r="H37">
            <v>238222.65848670757</v>
          </cell>
          <cell r="I37">
            <v>268962.56110624206</v>
          </cell>
          <cell r="J37">
            <v>283890.73619631905</v>
          </cell>
          <cell r="K37">
            <v>272813.45603271987</v>
          </cell>
          <cell r="L37">
            <v>272813.45603271987</v>
          </cell>
          <cell r="M37">
            <v>279631.13156100886</v>
          </cell>
          <cell r="N37">
            <v>308607.84302268969</v>
          </cell>
          <cell r="O37">
            <v>303663.60112961341</v>
          </cell>
          <cell r="P37"/>
          <cell r="T37">
            <v>34</v>
          </cell>
          <cell r="U37" t="str">
            <v>Interdepartmental/Special Contracts</v>
          </cell>
          <cell r="X37">
            <v>225464.39380660237</v>
          </cell>
          <cell r="Y37">
            <v>164174.56714383094</v>
          </cell>
          <cell r="Z37">
            <v>206098.54903106438</v>
          </cell>
          <cell r="AA37">
            <v>207769.69519914305</v>
          </cell>
          <cell r="AB37">
            <v>270498.71263024636</v>
          </cell>
          <cell r="AC37">
            <v>251733.8114714188</v>
          </cell>
          <cell r="AD37">
            <v>274926.15249780897</v>
          </cell>
          <cell r="AE37">
            <v>193293.23400525854</v>
          </cell>
          <cell r="AF37">
            <v>256233.58944395755</v>
          </cell>
          <cell r="AG37">
            <v>273887.14188333822</v>
          </cell>
          <cell r="AH37">
            <v>265831.43636186578</v>
          </cell>
          <cell r="AI37">
            <v>309209.08462362445</v>
          </cell>
        </row>
        <row r="38">
          <cell r="A38">
            <v>35</v>
          </cell>
          <cell r="B38" t="str">
            <v>Unbilled</v>
          </cell>
          <cell r="C38"/>
          <cell r="D38">
            <v>-67779</v>
          </cell>
          <cell r="E38">
            <v>-10265</v>
          </cell>
          <cell r="F38">
            <v>2198</v>
          </cell>
          <cell r="G38">
            <v>-18727</v>
          </cell>
          <cell r="H38">
            <v>-16100</v>
          </cell>
          <cell r="I38">
            <v>-13461</v>
          </cell>
          <cell r="J38">
            <v>-22295</v>
          </cell>
          <cell r="K38">
            <v>-10168</v>
          </cell>
          <cell r="L38">
            <v>4550</v>
          </cell>
          <cell r="M38">
            <v>-15297</v>
          </cell>
          <cell r="N38">
            <v>31786</v>
          </cell>
          <cell r="O38"/>
          <cell r="P38"/>
          <cell r="T38">
            <v>35</v>
          </cell>
          <cell r="U38" t="str">
            <v>Unbilled</v>
          </cell>
          <cell r="X38">
            <v>-10232</v>
          </cell>
          <cell r="Y38">
            <v>3159</v>
          </cell>
          <cell r="Z38">
            <v>-15931</v>
          </cell>
          <cell r="AA38">
            <v>-48452</v>
          </cell>
          <cell r="AB38">
            <v>-24861</v>
          </cell>
          <cell r="AC38">
            <v>-1413</v>
          </cell>
          <cell r="AD38">
            <v>-16236</v>
          </cell>
          <cell r="AE38">
            <v>552</v>
          </cell>
          <cell r="AF38">
            <v>9620</v>
          </cell>
          <cell r="AG38">
            <v>26770</v>
          </cell>
          <cell r="AH38">
            <v>16551</v>
          </cell>
          <cell r="AI38">
            <v>56178</v>
          </cell>
        </row>
        <row r="39">
          <cell r="A39">
            <v>36</v>
          </cell>
          <cell r="B39" t="str">
            <v>Commercial Small Transp</v>
          </cell>
          <cell r="C39"/>
          <cell r="D39">
            <v>658951.26497224683</v>
          </cell>
          <cell r="E39">
            <v>71765.216671535803</v>
          </cell>
          <cell r="F39">
            <v>64466.802999318461</v>
          </cell>
          <cell r="G39">
            <v>61417.367806018134</v>
          </cell>
          <cell r="H39">
            <v>66004.690817022129</v>
          </cell>
          <cell r="I39">
            <v>60523.668322134537</v>
          </cell>
          <cell r="J39">
            <v>55291.102346869171</v>
          </cell>
          <cell r="K39">
            <v>54763.626448534465</v>
          </cell>
          <cell r="L39">
            <v>52713.438504236103</v>
          </cell>
          <cell r="M39">
            <v>56014.134774564212</v>
          </cell>
          <cell r="N39">
            <v>55190.409971759691</v>
          </cell>
          <cell r="O39">
            <v>60800.806310254135</v>
          </cell>
          <cell r="P39"/>
          <cell r="T39">
            <v>36</v>
          </cell>
          <cell r="U39" t="str">
            <v>Commercial Small Transp</v>
          </cell>
          <cell r="X39">
            <v>69521.442204693696</v>
          </cell>
          <cell r="Y39">
            <v>65492.46372577655</v>
          </cell>
          <cell r="Z39">
            <v>61644.830071087716</v>
          </cell>
          <cell r="AA39">
            <v>44806.757230499468</v>
          </cell>
          <cell r="AB39">
            <v>42214.836887720339</v>
          </cell>
          <cell r="AC39">
            <v>44723.62742233905</v>
          </cell>
          <cell r="AD39">
            <v>49370.796572207619</v>
          </cell>
          <cell r="AE39">
            <v>46536.194371409067</v>
          </cell>
          <cell r="AF39">
            <v>47700.063297302535</v>
          </cell>
          <cell r="AG39">
            <v>49713.231083844599</v>
          </cell>
          <cell r="AH39">
            <v>55426.081410069157</v>
          </cell>
          <cell r="AI39">
            <v>63513.63618658101</v>
          </cell>
        </row>
        <row r="40">
          <cell r="A40">
            <v>37</v>
          </cell>
          <cell r="B40" t="str">
            <v>Commercial Large Transp</v>
          </cell>
          <cell r="C40"/>
          <cell r="D40">
            <v>2885230.28435096</v>
          </cell>
          <cell r="E40">
            <v>285667.38143928326</v>
          </cell>
          <cell r="F40">
            <v>263090.86571233836</v>
          </cell>
          <cell r="G40">
            <v>278411.42078099144</v>
          </cell>
          <cell r="H40">
            <v>272336.20703086961</v>
          </cell>
          <cell r="I40">
            <v>262101.60288246177</v>
          </cell>
          <cell r="J40">
            <v>241996.3423897168</v>
          </cell>
          <cell r="K40">
            <v>257529.62605901284</v>
          </cell>
          <cell r="L40">
            <v>238891.95734735613</v>
          </cell>
          <cell r="M40">
            <v>257291.47239263775</v>
          </cell>
          <cell r="N40">
            <v>256956.50306748447</v>
          </cell>
          <cell r="O40">
            <v>270956.9052488071</v>
          </cell>
          <cell r="P40"/>
          <cell r="T40">
            <v>37</v>
          </cell>
          <cell r="U40" t="str">
            <v>Commercial Large Transp</v>
          </cell>
          <cell r="X40">
            <v>314314.06855584763</v>
          </cell>
          <cell r="Y40">
            <v>292558.30850131426</v>
          </cell>
          <cell r="Z40">
            <v>276026.95686045411</v>
          </cell>
          <cell r="AA40">
            <v>212905.76979257943</v>
          </cell>
          <cell r="AB40">
            <v>200708.49644561307</v>
          </cell>
          <cell r="AC40">
            <v>213969.00379783841</v>
          </cell>
          <cell r="AD40">
            <v>227404.65186483596</v>
          </cell>
          <cell r="AE40">
            <v>218516.28104002328</v>
          </cell>
          <cell r="AF40">
            <v>223018.28999902631</v>
          </cell>
          <cell r="AG40">
            <v>226002.28746713401</v>
          </cell>
          <cell r="AH40">
            <v>240245.35787321054</v>
          </cell>
          <cell r="AI40">
            <v>267031.15201090655</v>
          </cell>
        </row>
        <row r="41">
          <cell r="A41">
            <v>38</v>
          </cell>
          <cell r="B41" t="str">
            <v>Interruptible Transp</v>
          </cell>
          <cell r="C41"/>
          <cell r="D41">
            <v>847183.94488265645</v>
          </cell>
          <cell r="E41">
            <v>91064.757035738628</v>
          </cell>
          <cell r="F41">
            <v>73697.934560327194</v>
          </cell>
          <cell r="G41">
            <v>80415.989872431601</v>
          </cell>
          <cell r="H41">
            <v>71024.366540072064</v>
          </cell>
          <cell r="I41">
            <v>76281.822962313745</v>
          </cell>
          <cell r="J41">
            <v>66729.093387866393</v>
          </cell>
          <cell r="K41">
            <v>72038.147823546591</v>
          </cell>
          <cell r="L41">
            <v>76625.989872431586</v>
          </cell>
          <cell r="M41">
            <v>71981.260103223292</v>
          </cell>
          <cell r="N41">
            <v>84824.386989969818</v>
          </cell>
          <cell r="O41">
            <v>82500.195734735622</v>
          </cell>
          <cell r="P41"/>
          <cell r="T41">
            <v>38</v>
          </cell>
          <cell r="U41" t="str">
            <v>Interruptible Transp</v>
          </cell>
          <cell r="X41">
            <v>82947.757327880041</v>
          </cell>
          <cell r="Y41">
            <v>76647.994936215793</v>
          </cell>
          <cell r="Z41">
            <v>88497.271399357269</v>
          </cell>
          <cell r="AA41">
            <v>77222.376083357682</v>
          </cell>
          <cell r="AB41">
            <v>83742.951601908659</v>
          </cell>
          <cell r="AC41">
            <v>75588.178011490891</v>
          </cell>
          <cell r="AD41">
            <v>80777.221735319894</v>
          </cell>
          <cell r="AE41">
            <v>80855.189405005367</v>
          </cell>
          <cell r="AF41">
            <v>77605.329632875641</v>
          </cell>
          <cell r="AG41">
            <v>82988.887915084226</v>
          </cell>
          <cell r="AH41">
            <v>83716.971467523617</v>
          </cell>
          <cell r="AI41">
            <v>87829.851981692467</v>
          </cell>
        </row>
        <row r="42">
          <cell r="A42">
            <v>39</v>
          </cell>
          <cell r="D42">
            <v>10146099.487681389</v>
          </cell>
          <cell r="E42">
            <v>1113040.9850034094</v>
          </cell>
          <cell r="F42">
            <v>1004888.9231668115</v>
          </cell>
          <cell r="G42">
            <v>974596.70824812679</v>
          </cell>
          <cell r="H42">
            <v>937971.88820722443</v>
          </cell>
          <cell r="I42">
            <v>898075.89648456604</v>
          </cell>
          <cell r="J42">
            <v>830207.73931249697</v>
          </cell>
          <cell r="K42">
            <v>848374.42574739852</v>
          </cell>
          <cell r="L42">
            <v>819377.65507839457</v>
          </cell>
          <cell r="M42">
            <v>833970.02405297803</v>
          </cell>
          <cell r="N42">
            <v>928756.93387866649</v>
          </cell>
          <cell r="O42">
            <v>956838.308501316</v>
          </cell>
          <cell r="P42">
            <v>0</v>
          </cell>
          <cell r="T42">
            <v>39</v>
          </cell>
          <cell r="U42"/>
          <cell r="V42"/>
          <cell r="W42"/>
          <cell r="X42">
            <v>1048067.5861330245</v>
          </cell>
          <cell r="Y42">
            <v>934217.76521570049</v>
          </cell>
          <cell r="Z42">
            <v>912773.32856169145</v>
          </cell>
          <cell r="AA42">
            <v>729255.88100107375</v>
          </cell>
          <cell r="AB42">
            <v>794460.22602006339</v>
          </cell>
          <cell r="AC42">
            <v>773908.72655565792</v>
          </cell>
          <cell r="AD42">
            <v>799328.79501412285</v>
          </cell>
          <cell r="AE42">
            <v>712511.75460123038</v>
          </cell>
          <cell r="AF42">
            <v>781754.72976921056</v>
          </cell>
          <cell r="AG42">
            <v>841145.61301003525</v>
          </cell>
          <cell r="AH42">
            <v>895359.76521570142</v>
          </cell>
          <cell r="AI42">
            <v>1111512.6177816733</v>
          </cell>
        </row>
        <row r="43">
          <cell r="A43">
            <v>40</v>
          </cell>
          <cell r="B43" t="str">
            <v>Indiantown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T43">
            <v>40</v>
          </cell>
          <cell r="U43" t="str">
            <v>Indiantown</v>
          </cell>
          <cell r="W43"/>
          <cell r="X43"/>
          <cell r="Y43"/>
          <cell r="Z43"/>
          <cell r="AA43"/>
          <cell r="AB43"/>
          <cell r="AC43"/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675</v>
          </cell>
          <cell r="F45">
            <v>678</v>
          </cell>
          <cell r="G45">
            <v>674</v>
          </cell>
          <cell r="H45">
            <v>678</v>
          </cell>
          <cell r="I45">
            <v>674</v>
          </cell>
          <cell r="J45">
            <v>674</v>
          </cell>
          <cell r="K45">
            <v>676</v>
          </cell>
          <cell r="L45">
            <v>675</v>
          </cell>
          <cell r="M45">
            <v>677</v>
          </cell>
          <cell r="N45">
            <v>680</v>
          </cell>
          <cell r="O45">
            <v>668</v>
          </cell>
          <cell r="P45"/>
          <cell r="T45">
            <v>42</v>
          </cell>
          <cell r="U45" t="str">
            <v>TS1 - RS</v>
          </cell>
          <cell r="X45">
            <v>676</v>
          </cell>
          <cell r="Y45">
            <v>674</v>
          </cell>
          <cell r="Z45">
            <v>673</v>
          </cell>
          <cell r="AA45">
            <v>673</v>
          </cell>
          <cell r="AB45">
            <v>674</v>
          </cell>
          <cell r="AC45">
            <v>671</v>
          </cell>
          <cell r="AD45">
            <v>673</v>
          </cell>
          <cell r="AE45">
            <v>675</v>
          </cell>
          <cell r="AF45">
            <v>676</v>
          </cell>
          <cell r="AG45">
            <v>675</v>
          </cell>
          <cell r="AH45">
            <v>674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/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21</v>
          </cell>
          <cell r="F47">
            <v>21</v>
          </cell>
          <cell r="G47">
            <v>21</v>
          </cell>
          <cell r="H47">
            <v>22</v>
          </cell>
          <cell r="I47">
            <v>22</v>
          </cell>
          <cell r="J47">
            <v>22</v>
          </cell>
          <cell r="K47">
            <v>22</v>
          </cell>
          <cell r="L47">
            <v>22</v>
          </cell>
          <cell r="M47">
            <v>22</v>
          </cell>
          <cell r="N47">
            <v>22</v>
          </cell>
          <cell r="O47">
            <v>22</v>
          </cell>
          <cell r="P47"/>
          <cell r="T47">
            <v>44</v>
          </cell>
          <cell r="U47" t="str">
            <v>TS2</v>
          </cell>
          <cell r="X47">
            <v>22</v>
          </cell>
          <cell r="Y47">
            <v>22</v>
          </cell>
          <cell r="Z47">
            <v>22</v>
          </cell>
          <cell r="AA47">
            <v>22</v>
          </cell>
          <cell r="AB47">
            <v>22</v>
          </cell>
          <cell r="AC47">
            <v>22</v>
          </cell>
          <cell r="AD47">
            <v>22</v>
          </cell>
          <cell r="AE47">
            <v>22</v>
          </cell>
          <cell r="AF47">
            <v>22</v>
          </cell>
          <cell r="AG47">
            <v>21</v>
          </cell>
          <cell r="AH47">
            <v>21</v>
          </cell>
          <cell r="AI47">
            <v>21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/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/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699</v>
          </cell>
          <cell r="F50">
            <v>700</v>
          </cell>
          <cell r="G50">
            <v>696</v>
          </cell>
          <cell r="H50">
            <v>701</v>
          </cell>
          <cell r="I50">
            <v>697</v>
          </cell>
          <cell r="J50">
            <v>697</v>
          </cell>
          <cell r="K50">
            <v>699</v>
          </cell>
          <cell r="L50">
            <v>698</v>
          </cell>
          <cell r="M50">
            <v>700</v>
          </cell>
          <cell r="N50">
            <v>703</v>
          </cell>
          <cell r="O50">
            <v>691</v>
          </cell>
          <cell r="P50">
            <v>0</v>
          </cell>
          <cell r="T50">
            <v>47</v>
          </cell>
          <cell r="U50"/>
          <cell r="V50"/>
          <cell r="W50"/>
          <cell r="X50">
            <v>701</v>
          </cell>
          <cell r="Y50">
            <v>699</v>
          </cell>
          <cell r="Z50">
            <v>698</v>
          </cell>
          <cell r="AA50">
            <v>698</v>
          </cell>
          <cell r="AB50">
            <v>699</v>
          </cell>
          <cell r="AC50">
            <v>696</v>
          </cell>
          <cell r="AD50">
            <v>698</v>
          </cell>
          <cell r="AE50">
            <v>700</v>
          </cell>
          <cell r="AF50">
            <v>701</v>
          </cell>
          <cell r="AG50">
            <v>699</v>
          </cell>
          <cell r="AH50">
            <v>698</v>
          </cell>
          <cell r="AI50">
            <v>696</v>
          </cell>
        </row>
        <row r="51">
          <cell r="A51">
            <v>48</v>
          </cell>
          <cell r="B51" t="str">
            <v>Indiantown</v>
          </cell>
          <cell r="E51"/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D52"/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10050.820917323981</v>
          </cell>
          <cell r="E53">
            <v>1151.4402570844279</v>
          </cell>
          <cell r="F53">
            <v>986.67640471321238</v>
          </cell>
          <cell r="G53">
            <v>1032.0654396728021</v>
          </cell>
          <cell r="H53">
            <v>960.14412308890724</v>
          </cell>
          <cell r="I53">
            <v>870.7089297886838</v>
          </cell>
          <cell r="J53">
            <v>906.63258350374747</v>
          </cell>
          <cell r="K53">
            <v>878.64056870191871</v>
          </cell>
          <cell r="L53">
            <v>781.9651377933593</v>
          </cell>
          <cell r="M53">
            <v>894.44444444444423</v>
          </cell>
          <cell r="N53">
            <v>813.57873210633954</v>
          </cell>
          <cell r="O53">
            <v>774.5242964261364</v>
          </cell>
          <cell r="P53"/>
          <cell r="T53">
            <v>50</v>
          </cell>
          <cell r="U53" t="str">
            <v>TS1 - RS</v>
          </cell>
          <cell r="V53"/>
          <cell r="W53"/>
          <cell r="X53">
            <v>1177.8303632291363</v>
          </cell>
          <cell r="Y53">
            <v>957.55575031648698</v>
          </cell>
          <cell r="Z53">
            <v>988.65420196708556</v>
          </cell>
          <cell r="AA53">
            <v>1058.3737462265053</v>
          </cell>
          <cell r="AB53">
            <v>984.08024150355459</v>
          </cell>
          <cell r="AC53">
            <v>880.15191352614727</v>
          </cell>
          <cell r="AD53">
            <v>976.52838640568621</v>
          </cell>
          <cell r="AE53">
            <v>819.10215210828824</v>
          </cell>
          <cell r="AF53">
            <v>861.90768331872573</v>
          </cell>
          <cell r="AG53">
            <v>850.31161748953127</v>
          </cell>
          <cell r="AH53">
            <v>1028.2685753237893</v>
          </cell>
          <cell r="AI53">
            <v>1154.1201674944011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/>
          <cell r="F54"/>
          <cell r="G54"/>
          <cell r="H54">
            <v>0</v>
          </cell>
          <cell r="I54"/>
          <cell r="J54"/>
          <cell r="K54"/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/>
          <cell r="T54">
            <v>51</v>
          </cell>
          <cell r="U54" t="str">
            <v>TS1 - Com</v>
          </cell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</row>
        <row r="55">
          <cell r="A55">
            <v>52</v>
          </cell>
          <cell r="B55" t="str">
            <v>TS2</v>
          </cell>
          <cell r="D55">
            <v>7225.7493426818583</v>
          </cell>
          <cell r="E55">
            <v>649.06417372675048</v>
          </cell>
          <cell r="F55">
            <v>620.48884993670276</v>
          </cell>
          <cell r="G55">
            <v>686.46216768916145</v>
          </cell>
          <cell r="H55">
            <v>704.86902327393113</v>
          </cell>
          <cell r="I55">
            <v>650.13730645632484</v>
          </cell>
          <cell r="J55">
            <v>680.5833089882168</v>
          </cell>
          <cell r="K55">
            <v>644.02278702892204</v>
          </cell>
          <cell r="L55">
            <v>616.79033985782439</v>
          </cell>
          <cell r="M55">
            <v>713.86113545622732</v>
          </cell>
          <cell r="N55">
            <v>547.77193494984908</v>
          </cell>
          <cell r="O55">
            <v>711.69831531794728</v>
          </cell>
          <cell r="P55"/>
          <cell r="T55">
            <v>52</v>
          </cell>
          <cell r="U55" t="str">
            <v>TS2</v>
          </cell>
          <cell r="X55">
            <v>719.91625279968821</v>
          </cell>
          <cell r="Y55">
            <v>720.23760833576785</v>
          </cell>
          <cell r="Z55">
            <v>699.14305190378809</v>
          </cell>
          <cell r="AA55">
            <v>627.458369851008</v>
          </cell>
          <cell r="AB55">
            <v>638.78663940013632</v>
          </cell>
          <cell r="AC55">
            <v>594.87291849255041</v>
          </cell>
          <cell r="AD55">
            <v>665.4591488947317</v>
          </cell>
          <cell r="AE55">
            <v>583.88353296328739</v>
          </cell>
          <cell r="AF55">
            <v>669.48193592365362</v>
          </cell>
          <cell r="AG55">
            <v>578.08452624403549</v>
          </cell>
          <cell r="AH55">
            <v>682.81721686629658</v>
          </cell>
          <cell r="AI55">
            <v>655.18453598208191</v>
          </cell>
        </row>
        <row r="56">
          <cell r="A56">
            <v>53</v>
          </cell>
          <cell r="B56" t="str">
            <v>TS3</v>
          </cell>
          <cell r="D56">
            <v>726.20118804167896</v>
          </cell>
          <cell r="E56">
            <v>91.963190184049083</v>
          </cell>
          <cell r="F56">
            <v>73.54270133411238</v>
          </cell>
          <cell r="G56">
            <v>64.526244035446496</v>
          </cell>
          <cell r="H56">
            <v>81.73142467620994</v>
          </cell>
          <cell r="I56">
            <v>48.13516408608433</v>
          </cell>
          <cell r="J56">
            <v>86.145681176356021</v>
          </cell>
          <cell r="K56">
            <v>46.774758983347937</v>
          </cell>
          <cell r="L56">
            <v>46.842925309182974</v>
          </cell>
          <cell r="M56">
            <v>64.659655273152211</v>
          </cell>
          <cell r="N56">
            <v>54.268185801928126</v>
          </cell>
          <cell r="O56">
            <v>67.611257181809322</v>
          </cell>
          <cell r="P56"/>
          <cell r="T56">
            <v>53</v>
          </cell>
          <cell r="U56" t="str">
            <v>TS3</v>
          </cell>
          <cell r="X56">
            <v>31.706105755185508</v>
          </cell>
          <cell r="Y56">
            <v>28.863569967864443</v>
          </cell>
          <cell r="Z56">
            <v>38.260784886551754</v>
          </cell>
          <cell r="AA56">
            <v>33.979939624111402</v>
          </cell>
          <cell r="AB56">
            <v>48.624987827441814</v>
          </cell>
          <cell r="AC56">
            <v>34.503846528386404</v>
          </cell>
          <cell r="AD56">
            <v>43.365468886941279</v>
          </cell>
          <cell r="AE56">
            <v>39.629954231181223</v>
          </cell>
          <cell r="AF56">
            <v>33.31385724023761</v>
          </cell>
          <cell r="AG56">
            <v>25.543869899698119</v>
          </cell>
          <cell r="AH56">
            <v>41.003018794429835</v>
          </cell>
          <cell r="AI56">
            <v>55.640276560521961</v>
          </cell>
        </row>
        <row r="57">
          <cell r="A57">
            <v>54</v>
          </cell>
          <cell r="B57" t="str">
            <v>TS4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/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A58">
            <v>55</v>
          </cell>
          <cell r="D58">
            <v>18002.771448047519</v>
          </cell>
          <cell r="E58">
            <v>1892.4676209952274</v>
          </cell>
          <cell r="F58">
            <v>1680.7079559840274</v>
          </cell>
          <cell r="G58">
            <v>1783.05385139741</v>
          </cell>
          <cell r="H58">
            <v>1746.7445710390484</v>
          </cell>
          <cell r="I58">
            <v>1568.981400331093</v>
          </cell>
          <cell r="J58">
            <v>1673.3615736683203</v>
          </cell>
          <cell r="K58">
            <v>1569.4381147141887</v>
          </cell>
          <cell r="L58">
            <v>1445.5984029603667</v>
          </cell>
          <cell r="M58">
            <v>1672.9652351738237</v>
          </cell>
          <cell r="N58">
            <v>1415.618852858117</v>
          </cell>
          <cell r="O58">
            <v>1553.8338689258931</v>
          </cell>
          <cell r="P58">
            <v>0</v>
          </cell>
          <cell r="T58">
            <v>55</v>
          </cell>
          <cell r="U58"/>
          <cell r="V58"/>
          <cell r="W58"/>
          <cell r="X58">
            <v>1929.45272178401</v>
          </cell>
          <cell r="Y58">
            <v>1706.6569286201193</v>
          </cell>
          <cell r="Z58">
            <v>1726.0580387574255</v>
          </cell>
          <cell r="AA58">
            <v>1719.8120557016248</v>
          </cell>
          <cell r="AB58">
            <v>1671.4918687311326</v>
          </cell>
          <cell r="AC58">
            <v>1509.5286785470842</v>
          </cell>
          <cell r="AD58">
            <v>1685.3530041873591</v>
          </cell>
          <cell r="AE58">
            <v>1442.6156393027568</v>
          </cell>
          <cell r="AF58">
            <v>1564.7034764826171</v>
          </cell>
          <cell r="AG58">
            <v>1453.9400136332649</v>
          </cell>
          <cell r="AH58">
            <v>1752.0888109845157</v>
          </cell>
          <cell r="AI58">
            <v>1864.9449800370051</v>
          </cell>
        </row>
        <row r="59">
          <cell r="A59">
            <v>56</v>
          </cell>
          <cell r="D59"/>
          <cell r="E59"/>
          <cell r="H59"/>
          <cell r="I59"/>
          <cell r="J59"/>
          <cell r="K59"/>
          <cell r="T59">
            <v>56</v>
          </cell>
          <cell r="AA59"/>
          <cell r="AB59"/>
          <cell r="AC59"/>
          <cell r="AD59"/>
        </row>
        <row r="60">
          <cell r="A60">
            <v>57</v>
          </cell>
          <cell r="B60" t="str">
            <v>Fort Meade</v>
          </cell>
          <cell r="E60"/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D61"/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560</v>
          </cell>
          <cell r="F62">
            <v>565</v>
          </cell>
          <cell r="G62">
            <v>563</v>
          </cell>
          <cell r="H62">
            <v>563</v>
          </cell>
          <cell r="I62">
            <v>550</v>
          </cell>
          <cell r="J62">
            <v>548</v>
          </cell>
          <cell r="K62">
            <v>552</v>
          </cell>
          <cell r="L62">
            <v>547</v>
          </cell>
          <cell r="M62">
            <v>548</v>
          </cell>
          <cell r="N62">
            <v>545</v>
          </cell>
          <cell r="O62">
            <v>544</v>
          </cell>
          <cell r="P62"/>
          <cell r="T62">
            <v>59</v>
          </cell>
          <cell r="U62" t="str">
            <v>Residential</v>
          </cell>
          <cell r="V62"/>
          <cell r="W62"/>
          <cell r="X62">
            <v>565</v>
          </cell>
          <cell r="Y62">
            <v>564</v>
          </cell>
          <cell r="Z62">
            <v>563</v>
          </cell>
          <cell r="AA62">
            <v>556</v>
          </cell>
          <cell r="AB62">
            <v>549</v>
          </cell>
          <cell r="AC62">
            <v>545</v>
          </cell>
          <cell r="AD62">
            <v>549</v>
          </cell>
          <cell r="AE62">
            <v>549</v>
          </cell>
          <cell r="AF62">
            <v>551</v>
          </cell>
          <cell r="AG62">
            <v>554</v>
          </cell>
          <cell r="AH62">
            <v>553</v>
          </cell>
          <cell r="AI62">
            <v>554</v>
          </cell>
        </row>
        <row r="63">
          <cell r="A63">
            <v>60</v>
          </cell>
          <cell r="B63" t="str">
            <v>Commercial</v>
          </cell>
          <cell r="E63">
            <v>34</v>
          </cell>
          <cell r="F63">
            <v>34</v>
          </cell>
          <cell r="G63">
            <v>34</v>
          </cell>
          <cell r="H63">
            <v>34</v>
          </cell>
          <cell r="I63">
            <v>35</v>
          </cell>
          <cell r="J63">
            <v>35</v>
          </cell>
          <cell r="K63">
            <v>36</v>
          </cell>
          <cell r="L63">
            <v>34</v>
          </cell>
          <cell r="M63">
            <v>35</v>
          </cell>
          <cell r="N63">
            <v>34</v>
          </cell>
          <cell r="O63">
            <v>31</v>
          </cell>
          <cell r="P63"/>
          <cell r="T63">
            <v>60</v>
          </cell>
          <cell r="U63" t="str">
            <v>Commercial</v>
          </cell>
          <cell r="X63">
            <v>33</v>
          </cell>
          <cell r="Y63">
            <v>32</v>
          </cell>
          <cell r="Z63">
            <v>33</v>
          </cell>
          <cell r="AA63">
            <v>33</v>
          </cell>
          <cell r="AB63">
            <v>33</v>
          </cell>
          <cell r="AC63">
            <v>33</v>
          </cell>
          <cell r="AD63">
            <v>33</v>
          </cell>
          <cell r="AE63">
            <v>33</v>
          </cell>
          <cell r="AF63">
            <v>33</v>
          </cell>
          <cell r="AG63">
            <v>34</v>
          </cell>
          <cell r="AH63">
            <v>34</v>
          </cell>
          <cell r="AI63">
            <v>35</v>
          </cell>
        </row>
        <row r="64">
          <cell r="A64">
            <v>61</v>
          </cell>
          <cell r="B64" t="str">
            <v>Commercial Small Transp</v>
          </cell>
          <cell r="E64">
            <v>10</v>
          </cell>
          <cell r="F64">
            <v>10</v>
          </cell>
          <cell r="G64">
            <v>10</v>
          </cell>
          <cell r="H64">
            <v>10</v>
          </cell>
          <cell r="I64">
            <v>10</v>
          </cell>
          <cell r="J64">
            <v>10</v>
          </cell>
          <cell r="K64">
            <v>11</v>
          </cell>
          <cell r="L64">
            <v>11</v>
          </cell>
          <cell r="M64">
            <v>11</v>
          </cell>
          <cell r="N64">
            <v>11</v>
          </cell>
          <cell r="O64">
            <v>11</v>
          </cell>
          <cell r="P64"/>
          <cell r="T64">
            <v>61</v>
          </cell>
          <cell r="U64" t="str">
            <v>Commercial Small Transp</v>
          </cell>
          <cell r="X64">
            <v>9</v>
          </cell>
          <cell r="Y64">
            <v>9</v>
          </cell>
          <cell r="Z64">
            <v>9</v>
          </cell>
          <cell r="AA64">
            <v>9</v>
          </cell>
          <cell r="AB64">
            <v>9</v>
          </cell>
          <cell r="AC64">
            <v>9</v>
          </cell>
          <cell r="AD64">
            <v>9</v>
          </cell>
          <cell r="AE64">
            <v>9</v>
          </cell>
          <cell r="AF64">
            <v>9</v>
          </cell>
          <cell r="AG64">
            <v>10</v>
          </cell>
          <cell r="AH64">
            <v>9</v>
          </cell>
          <cell r="AI64">
            <v>10</v>
          </cell>
        </row>
        <row r="65">
          <cell r="A65">
            <v>62</v>
          </cell>
          <cell r="B65" t="str">
            <v>Other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/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/>
          <cell r="E66">
            <v>604</v>
          </cell>
          <cell r="F66">
            <v>609</v>
          </cell>
          <cell r="G66">
            <v>607</v>
          </cell>
          <cell r="H66">
            <v>607</v>
          </cell>
          <cell r="I66">
            <v>595</v>
          </cell>
          <cell r="J66">
            <v>593</v>
          </cell>
          <cell r="K66">
            <v>599</v>
          </cell>
          <cell r="L66">
            <v>592</v>
          </cell>
          <cell r="M66">
            <v>594</v>
          </cell>
          <cell r="N66">
            <v>590</v>
          </cell>
          <cell r="O66">
            <v>586</v>
          </cell>
          <cell r="P66">
            <v>0</v>
          </cell>
          <cell r="T66">
            <v>63</v>
          </cell>
          <cell r="W66"/>
          <cell r="X66">
            <v>607</v>
          </cell>
          <cell r="Y66">
            <v>605</v>
          </cell>
          <cell r="Z66">
            <v>605</v>
          </cell>
          <cell r="AA66">
            <v>598</v>
          </cell>
          <cell r="AB66">
            <v>591</v>
          </cell>
          <cell r="AC66">
            <v>587</v>
          </cell>
          <cell r="AD66">
            <v>591</v>
          </cell>
          <cell r="AE66">
            <v>591</v>
          </cell>
          <cell r="AF66">
            <v>593</v>
          </cell>
          <cell r="AG66">
            <v>598</v>
          </cell>
          <cell r="AH66">
            <v>596</v>
          </cell>
          <cell r="AI66">
            <v>599</v>
          </cell>
        </row>
        <row r="67">
          <cell r="A67">
            <v>64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T67">
            <v>64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B68" t="str">
            <v>Fort Meade</v>
          </cell>
          <cell r="D68"/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5901.8901548349431</v>
          </cell>
          <cell r="E69">
            <v>948.99503359625965</v>
          </cell>
          <cell r="F69">
            <v>771.00594020839651</v>
          </cell>
          <cell r="G69">
            <v>592.09660142175562</v>
          </cell>
          <cell r="H69">
            <v>629.60268770084781</v>
          </cell>
          <cell r="I69">
            <v>471.73824130879257</v>
          </cell>
          <cell r="J69">
            <v>415.22251436361859</v>
          </cell>
          <cell r="K69">
            <v>434.82617586912045</v>
          </cell>
          <cell r="L69">
            <v>356.55370532671185</v>
          </cell>
          <cell r="M69">
            <v>428.56266432953635</v>
          </cell>
          <cell r="N69">
            <v>389.09728308501411</v>
          </cell>
          <cell r="O69">
            <v>464.18930762488986</v>
          </cell>
          <cell r="P69"/>
          <cell r="T69">
            <v>66</v>
          </cell>
          <cell r="U69" t="str">
            <v>Residential</v>
          </cell>
          <cell r="V69"/>
          <cell r="W69"/>
          <cell r="X69">
            <v>793.83094751192687</v>
          </cell>
          <cell r="Y69">
            <v>735.16992891225698</v>
          </cell>
          <cell r="Z69">
            <v>661.97682344921304</v>
          </cell>
          <cell r="AA69">
            <v>585.17382413087671</v>
          </cell>
          <cell r="AB69">
            <v>518.37958905443645</v>
          </cell>
          <cell r="AC69">
            <v>445.59645535105619</v>
          </cell>
          <cell r="AD69">
            <v>457.68916155419168</v>
          </cell>
          <cell r="AE69">
            <v>399.73220371993472</v>
          </cell>
          <cell r="AF69">
            <v>453.04021813224244</v>
          </cell>
          <cell r="AG69">
            <v>454.62946732885342</v>
          </cell>
          <cell r="AH69">
            <v>507.21978771058758</v>
          </cell>
          <cell r="AI69">
            <v>771.66033693640816</v>
          </cell>
        </row>
        <row r="70">
          <cell r="A70">
            <v>67</v>
          </cell>
          <cell r="B70" t="str">
            <v>Commercial</v>
          </cell>
          <cell r="D70">
            <v>18486.886746518652</v>
          </cell>
          <cell r="E70">
            <v>2443.982861038076</v>
          </cell>
          <cell r="F70">
            <v>2320.7907293796861</v>
          </cell>
          <cell r="G70">
            <v>1832.4374330509299</v>
          </cell>
          <cell r="H70">
            <v>1946.6014217547956</v>
          </cell>
          <cell r="I70">
            <v>1733.0499561787904</v>
          </cell>
          <cell r="J70">
            <v>1504.014022787029</v>
          </cell>
          <cell r="K70">
            <v>628.87233420975747</v>
          </cell>
          <cell r="L70">
            <v>1639.5841854124058</v>
          </cell>
          <cell r="M70">
            <v>1099.6951991430519</v>
          </cell>
          <cell r="N70">
            <v>1432.0615444541825</v>
          </cell>
          <cell r="O70">
            <v>1905.7970591099427</v>
          </cell>
          <cell r="P70"/>
          <cell r="T70">
            <v>67</v>
          </cell>
          <cell r="U70" t="str">
            <v>Commercial</v>
          </cell>
          <cell r="X70">
            <v>2268.6804946927646</v>
          </cell>
          <cell r="Y70">
            <v>2563.7442788976532</v>
          </cell>
          <cell r="Z70">
            <v>2303.813419028143</v>
          </cell>
          <cell r="AA70">
            <v>1524.4132826954913</v>
          </cell>
          <cell r="AB70">
            <v>585.64611938845064</v>
          </cell>
          <cell r="AC70">
            <v>678.76229428376666</v>
          </cell>
          <cell r="AD70">
            <v>778.47015288733076</v>
          </cell>
          <cell r="AE70">
            <v>575.34618755477641</v>
          </cell>
          <cell r="AF70">
            <v>682.87954036420297</v>
          </cell>
          <cell r="AG70">
            <v>1060.0029214139645</v>
          </cell>
          <cell r="AH70">
            <v>1477.9296913039243</v>
          </cell>
          <cell r="AI70">
            <v>2376.9549128444833</v>
          </cell>
        </row>
        <row r="71">
          <cell r="A71">
            <v>68</v>
          </cell>
          <cell r="B71" t="str">
            <v>Commercial Small Transp</v>
          </cell>
          <cell r="D71">
            <v>2960.7060083747201</v>
          </cell>
          <cell r="E71">
            <v>256.88382510468398</v>
          </cell>
          <cell r="F71">
            <v>272.45593533937097</v>
          </cell>
          <cell r="G71">
            <v>264.54377251923262</v>
          </cell>
          <cell r="H71">
            <v>286.73678060181129</v>
          </cell>
          <cell r="I71">
            <v>273.88548057259715</v>
          </cell>
          <cell r="J71">
            <v>242.56305385139743</v>
          </cell>
          <cell r="K71">
            <v>230.37394098743792</v>
          </cell>
          <cell r="L71">
            <v>225.42214431784984</v>
          </cell>
          <cell r="M71">
            <v>323.53880611549323</v>
          </cell>
          <cell r="N71">
            <v>292.19203427792388</v>
          </cell>
          <cell r="O71">
            <v>292.11023468692179</v>
          </cell>
          <cell r="P71"/>
          <cell r="T71">
            <v>68</v>
          </cell>
          <cell r="U71" t="str">
            <v>Commercial Small Transp</v>
          </cell>
          <cell r="X71">
            <v>223.62157951115006</v>
          </cell>
          <cell r="Y71">
            <v>218.88791508423412</v>
          </cell>
          <cell r="Z71">
            <v>212.39069042750023</v>
          </cell>
          <cell r="AA71">
            <v>162.33323595286785</v>
          </cell>
          <cell r="AB71">
            <v>131.36624793066511</v>
          </cell>
          <cell r="AC71">
            <v>138.61524978089395</v>
          </cell>
          <cell r="AD71">
            <v>149.62605901256208</v>
          </cell>
          <cell r="AE71">
            <v>133.27198364008183</v>
          </cell>
          <cell r="AF71">
            <v>181.55419222903888</v>
          </cell>
          <cell r="AG71">
            <v>184.50968935631514</v>
          </cell>
          <cell r="AH71">
            <v>204.30908559742912</v>
          </cell>
          <cell r="AI71">
            <v>236.7708637647288</v>
          </cell>
        </row>
        <row r="72">
          <cell r="A72">
            <v>69</v>
          </cell>
          <cell r="D72">
            <v>27349.482909728315</v>
          </cell>
          <cell r="E72">
            <v>3649.8617197390199</v>
          </cell>
          <cell r="F72">
            <v>3364.2526049274538</v>
          </cell>
          <cell r="G72">
            <v>2689.0778069919184</v>
          </cell>
          <cell r="H72">
            <v>2862.9408900574549</v>
          </cell>
          <cell r="I72">
            <v>2478.67367806018</v>
          </cell>
          <cell r="J72">
            <v>2161.799591002045</v>
          </cell>
          <cell r="K72">
            <v>1294.0724510663158</v>
          </cell>
          <cell r="L72">
            <v>2221.5600350569675</v>
          </cell>
          <cell r="M72">
            <v>1851.7966695880814</v>
          </cell>
          <cell r="N72">
            <v>2113.3508618171204</v>
          </cell>
          <cell r="O72">
            <v>2662.0966014217547</v>
          </cell>
          <cell r="P72">
            <v>0</v>
          </cell>
          <cell r="T72">
            <v>69</v>
          </cell>
          <cell r="X72">
            <v>3286.1330217158416</v>
          </cell>
          <cell r="Y72">
            <v>3517.8021228941443</v>
          </cell>
          <cell r="Z72">
            <v>3178.1809329048565</v>
          </cell>
          <cell r="AA72">
            <v>2271.9203427792354</v>
          </cell>
          <cell r="AB72">
            <v>1235.3919563735524</v>
          </cell>
          <cell r="AC72">
            <v>1262.9739994157167</v>
          </cell>
          <cell r="AD72">
            <v>1385.7853734540845</v>
          </cell>
          <cell r="AE72">
            <v>1108.3503749147928</v>
          </cell>
          <cell r="AF72">
            <v>1317.4739507254842</v>
          </cell>
          <cell r="AG72">
            <v>1699.1420780991332</v>
          </cell>
          <cell r="AH72">
            <v>2189.4585646119408</v>
          </cell>
          <cell r="AI72">
            <v>3385.3861135456204</v>
          </cell>
        </row>
        <row r="73">
          <cell r="A73">
            <v>70</v>
          </cell>
          <cell r="D73"/>
          <cell r="T73">
            <v>70</v>
          </cell>
          <cell r="U73"/>
          <cell r="V73"/>
          <cell r="W73"/>
          <cell r="X73"/>
        </row>
        <row r="74">
          <cell r="A74">
            <v>71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T74">
            <v>71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V75"/>
          <cell r="W75"/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C76"/>
          <cell r="D76">
            <v>823886</v>
          </cell>
          <cell r="E76">
            <v>67816</v>
          </cell>
          <cell r="F76">
            <v>67878</v>
          </cell>
          <cell r="G76">
            <v>68119</v>
          </cell>
          <cell r="H76">
            <v>68451</v>
          </cell>
          <cell r="I76">
            <v>68462</v>
          </cell>
          <cell r="J76">
            <v>68619</v>
          </cell>
          <cell r="K76">
            <v>68934</v>
          </cell>
          <cell r="L76">
            <v>68786</v>
          </cell>
          <cell r="M76">
            <v>68933</v>
          </cell>
          <cell r="N76">
            <v>68999</v>
          </cell>
          <cell r="O76">
            <v>69298</v>
          </cell>
          <cell r="P76">
            <v>69591</v>
          </cell>
          <cell r="T76">
            <v>73</v>
          </cell>
          <cell r="U76" t="str">
            <v xml:space="preserve">Customers </v>
          </cell>
          <cell r="V76"/>
          <cell r="W76"/>
          <cell r="X76">
            <v>64548.014876268098</v>
          </cell>
          <cell r="Y76">
            <v>64587.534615693323</v>
          </cell>
          <cell r="Z76">
            <v>64832.050975759863</v>
          </cell>
          <cell r="AA76">
            <v>65079.544649875301</v>
          </cell>
          <cell r="AB76">
            <v>64945.114949669442</v>
          </cell>
          <cell r="AC76">
            <v>64939.582536389986</v>
          </cell>
          <cell r="AD76">
            <v>65022.206887203938</v>
          </cell>
          <cell r="AE76">
            <v>65136.648364478926</v>
          </cell>
          <cell r="AF76">
            <v>65238.326877861786</v>
          </cell>
          <cell r="AG76">
            <v>65188.742223675326</v>
          </cell>
          <cell r="AH76">
            <v>65409.475011433686</v>
          </cell>
          <cell r="AI76">
            <v>65637.864203804871</v>
          </cell>
        </row>
        <row r="77">
          <cell r="A77">
            <v>74</v>
          </cell>
          <cell r="B77" t="str">
            <v>Volume (mcfs)</v>
          </cell>
          <cell r="C77"/>
          <cell r="D77">
            <v>10524054.180643028</v>
          </cell>
          <cell r="E77">
            <v>1088420.5515327286</v>
          </cell>
          <cell r="F77">
            <v>931034.60942510539</v>
          </cell>
          <cell r="G77">
            <v>943466.48989208799</v>
          </cell>
          <cell r="H77">
            <v>882689.85754991916</v>
          </cell>
          <cell r="I77">
            <v>823550.6785419014</v>
          </cell>
          <cell r="J77">
            <v>809008.14941672783</v>
          </cell>
          <cell r="K77">
            <v>755197.37908968492</v>
          </cell>
          <cell r="L77">
            <v>779422.45313614525</v>
          </cell>
          <cell r="M77">
            <v>751757.67174992862</v>
          </cell>
          <cell r="N77">
            <v>812867.88803126523</v>
          </cell>
          <cell r="O77">
            <v>903848.61461465608</v>
          </cell>
          <cell r="P77">
            <v>1042789.8376628759</v>
          </cell>
          <cell r="T77">
            <v>74</v>
          </cell>
          <cell r="U77" t="str">
            <v>Volume (mcfs)</v>
          </cell>
          <cell r="V77"/>
          <cell r="W77"/>
          <cell r="X77">
            <v>1060816.574933741</v>
          </cell>
          <cell r="Y77">
            <v>975925.11585821735</v>
          </cell>
          <cell r="Z77">
            <v>957650.73263229453</v>
          </cell>
          <cell r="AA77">
            <v>910605.92119554651</v>
          </cell>
          <cell r="AB77">
            <v>843311.1532706836</v>
          </cell>
          <cell r="AC77">
            <v>816202.62078960519</v>
          </cell>
          <cell r="AD77">
            <v>763606.03640170919</v>
          </cell>
          <cell r="AE77">
            <v>747360.31051826302</v>
          </cell>
          <cell r="AF77">
            <v>742100.65559104318</v>
          </cell>
          <cell r="AG77">
            <v>769742.13658438425</v>
          </cell>
          <cell r="AH77">
            <v>865350.14913226839</v>
          </cell>
          <cell r="AI77">
            <v>954227.16609550244</v>
          </cell>
        </row>
        <row r="78">
          <cell r="A78">
            <v>75</v>
          </cell>
          <cell r="B78" t="str">
            <v>Volume (dts) (mcfs*1.0269)</v>
          </cell>
          <cell r="C78"/>
          <cell r="D78">
            <v>10807150</v>
          </cell>
          <cell r="E78">
            <v>1117699</v>
          </cell>
          <cell r="F78">
            <v>956079</v>
          </cell>
          <cell r="G78">
            <v>968846</v>
          </cell>
          <cell r="H78">
            <v>906434</v>
          </cell>
          <cell r="I78">
            <v>845704</v>
          </cell>
          <cell r="J78">
            <v>830770</v>
          </cell>
          <cell r="K78">
            <v>775512</v>
          </cell>
          <cell r="L78">
            <v>800389</v>
          </cell>
          <cell r="M78">
            <v>771980</v>
          </cell>
          <cell r="N78">
            <v>834734</v>
          </cell>
          <cell r="O78">
            <v>928162</v>
          </cell>
          <cell r="P78">
            <v>1070841</v>
          </cell>
          <cell r="T78">
            <v>75</v>
          </cell>
          <cell r="U78" t="str">
            <v>Volume (dts) (mcfs*1.0269)</v>
          </cell>
          <cell r="V78"/>
          <cell r="W78"/>
          <cell r="X78">
            <v>1089353</v>
          </cell>
          <cell r="Y78">
            <v>1002178</v>
          </cell>
          <cell r="Z78">
            <v>983412</v>
          </cell>
          <cell r="AA78">
            <v>935101</v>
          </cell>
          <cell r="AB78">
            <v>865996</v>
          </cell>
          <cell r="AC78">
            <v>838158</v>
          </cell>
          <cell r="AD78">
            <v>784147</v>
          </cell>
          <cell r="AE78">
            <v>767464</v>
          </cell>
          <cell r="AF78">
            <v>762063</v>
          </cell>
          <cell r="AG78">
            <v>790448</v>
          </cell>
          <cell r="AH78">
            <v>888628</v>
          </cell>
          <cell r="AI78">
            <v>979896</v>
          </cell>
        </row>
        <row r="79">
          <cell r="A79">
            <v>76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T79">
            <v>76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A80">
            <v>77</v>
          </cell>
          <cell r="B80" t="str">
            <v>Volume - 2021 - actual in Dts (mcfs*1.0269)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- 2020 - actual in Dts (mcfs*1.0269)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1453473</v>
          </cell>
          <cell r="E81">
            <v>252733</v>
          </cell>
          <cell r="F81">
            <v>195040</v>
          </cell>
          <cell r="G81">
            <v>167342</v>
          </cell>
          <cell r="H81">
            <v>159786</v>
          </cell>
          <cell r="I81">
            <v>121371</v>
          </cell>
          <cell r="J81">
            <v>96770</v>
          </cell>
          <cell r="K81">
            <v>89238</v>
          </cell>
          <cell r="L81">
            <v>76641</v>
          </cell>
          <cell r="M81">
            <v>83951</v>
          </cell>
          <cell r="N81">
            <v>87412</v>
          </cell>
          <cell r="O81">
            <v>123189</v>
          </cell>
          <cell r="P81">
            <v>0</v>
          </cell>
          <cell r="T81">
            <v>78</v>
          </cell>
          <cell r="U81" t="str">
            <v>Residential</v>
          </cell>
          <cell r="W81">
            <v>1533316</v>
          </cell>
          <cell r="X81">
            <v>192037</v>
          </cell>
          <cell r="Y81">
            <v>170345</v>
          </cell>
          <cell r="Z81">
            <v>154551</v>
          </cell>
          <cell r="AA81">
            <v>142418</v>
          </cell>
          <cell r="AB81">
            <v>132840</v>
          </cell>
          <cell r="AC81">
            <v>101093</v>
          </cell>
          <cell r="AD81">
            <v>87095</v>
          </cell>
          <cell r="AE81">
            <v>78224</v>
          </cell>
          <cell r="AF81">
            <v>77936</v>
          </cell>
          <cell r="AG81">
            <v>84842</v>
          </cell>
          <cell r="AH81">
            <v>119876</v>
          </cell>
          <cell r="AI81">
            <v>192059</v>
          </cell>
        </row>
        <row r="82">
          <cell r="A82">
            <v>79</v>
          </cell>
          <cell r="B82" t="str">
            <v>Commercial</v>
          </cell>
          <cell r="D82">
            <v>1476128</v>
          </cell>
          <cell r="E82">
            <v>183313</v>
          </cell>
          <cell r="F82">
            <v>162884</v>
          </cell>
          <cell r="G82">
            <v>147893</v>
          </cell>
          <cell r="H82">
            <v>159382</v>
          </cell>
          <cell r="I82">
            <v>132726</v>
          </cell>
          <cell r="J82">
            <v>117018</v>
          </cell>
          <cell r="K82">
            <v>120281</v>
          </cell>
          <cell r="L82">
            <v>105351</v>
          </cell>
          <cell r="M82">
            <v>108644</v>
          </cell>
          <cell r="N82">
            <v>112452</v>
          </cell>
          <cell r="O82">
            <v>126184</v>
          </cell>
          <cell r="P82">
            <v>0</v>
          </cell>
          <cell r="T82">
            <v>79</v>
          </cell>
          <cell r="U82" t="str">
            <v>Commercial</v>
          </cell>
          <cell r="W82">
            <v>1497452</v>
          </cell>
          <cell r="X82">
            <v>188988</v>
          </cell>
          <cell r="Y82">
            <v>175917</v>
          </cell>
          <cell r="Z82">
            <v>154678</v>
          </cell>
          <cell r="AA82">
            <v>102840</v>
          </cell>
          <cell r="AB82">
            <v>98142</v>
          </cell>
          <cell r="AC82">
            <v>96012</v>
          </cell>
          <cell r="AD82">
            <v>103916</v>
          </cell>
          <cell r="AE82">
            <v>101665</v>
          </cell>
          <cell r="AF82">
            <v>96923</v>
          </cell>
          <cell r="AG82">
            <v>104880</v>
          </cell>
          <cell r="AH82">
            <v>123834</v>
          </cell>
          <cell r="AI82">
            <v>149657</v>
          </cell>
        </row>
        <row r="83">
          <cell r="A83">
            <v>80</v>
          </cell>
          <cell r="B83" t="str">
            <v xml:space="preserve">Industrial </v>
          </cell>
          <cell r="D83">
            <v>4509493</v>
          </cell>
          <cell r="E83">
            <v>460562</v>
          </cell>
          <cell r="F83">
            <v>412049</v>
          </cell>
          <cell r="G83">
            <v>431549</v>
          </cell>
          <cell r="H83">
            <v>420377</v>
          </cell>
          <cell r="I83">
            <v>409638</v>
          </cell>
          <cell r="J83">
            <v>373809</v>
          </cell>
          <cell r="K83">
            <v>394670</v>
          </cell>
          <cell r="L83">
            <v>378137</v>
          </cell>
          <cell r="M83">
            <v>395651</v>
          </cell>
          <cell r="N83">
            <v>407650</v>
          </cell>
          <cell r="O83">
            <v>425401</v>
          </cell>
          <cell r="P83">
            <v>0</v>
          </cell>
          <cell r="T83">
            <v>80</v>
          </cell>
          <cell r="U83" t="str">
            <v xml:space="preserve">Industrial </v>
          </cell>
          <cell r="W83">
            <v>4653692</v>
          </cell>
          <cell r="X83">
            <v>479340</v>
          </cell>
          <cell r="Y83">
            <v>446392</v>
          </cell>
          <cell r="Z83">
            <v>437633</v>
          </cell>
          <cell r="AA83">
            <v>343945</v>
          </cell>
          <cell r="AB83">
            <v>335454</v>
          </cell>
          <cell r="AC83">
            <v>343273</v>
          </cell>
          <cell r="AD83">
            <v>367171</v>
          </cell>
          <cell r="AE83">
            <v>355213</v>
          </cell>
          <cell r="AF83">
            <v>357694</v>
          </cell>
          <cell r="AG83">
            <v>368354</v>
          </cell>
          <cell r="AH83">
            <v>389594</v>
          </cell>
          <cell r="AI83">
            <v>429629</v>
          </cell>
        </row>
        <row r="84">
          <cell r="A84">
            <v>81</v>
          </cell>
          <cell r="B84" t="str">
            <v>Other</v>
          </cell>
          <cell r="D84">
            <v>3026507</v>
          </cell>
          <cell r="E84">
            <v>252065</v>
          </cell>
          <cell r="F84">
            <v>267128</v>
          </cell>
          <cell r="G84">
            <v>258622</v>
          </cell>
          <cell r="H84">
            <v>228392</v>
          </cell>
          <cell r="I84">
            <v>262656</v>
          </cell>
          <cell r="J84">
            <v>268882</v>
          </cell>
          <cell r="K84">
            <v>269947</v>
          </cell>
          <cell r="L84">
            <v>285056</v>
          </cell>
          <cell r="M84">
            <v>271777</v>
          </cell>
          <cell r="N84">
            <v>349850</v>
          </cell>
          <cell r="O84">
            <v>312132</v>
          </cell>
          <cell r="P84">
            <v>0</v>
          </cell>
          <cell r="T84">
            <v>81</v>
          </cell>
          <cell r="U84" t="str">
            <v>Other</v>
          </cell>
          <cell r="W84">
            <v>2974932</v>
          </cell>
          <cell r="X84">
            <v>221252</v>
          </cell>
          <cell r="Y84">
            <v>172060</v>
          </cell>
          <cell r="Z84">
            <v>195501</v>
          </cell>
          <cell r="AA84">
            <v>163770</v>
          </cell>
          <cell r="AB84">
            <v>252380</v>
          </cell>
          <cell r="AC84">
            <v>257197</v>
          </cell>
          <cell r="AD84">
            <v>265803</v>
          </cell>
          <cell r="AE84">
            <v>199197</v>
          </cell>
          <cell r="AF84">
            <v>273191</v>
          </cell>
          <cell r="AG84">
            <v>308934</v>
          </cell>
          <cell r="AH84">
            <v>290188</v>
          </cell>
          <cell r="AI84">
            <v>375459</v>
          </cell>
        </row>
        <row r="85">
          <cell r="A85">
            <v>82</v>
          </cell>
          <cell r="B85" t="str">
            <v>Total Deliveries</v>
          </cell>
          <cell r="C85"/>
          <cell r="D85">
            <v>10465601</v>
          </cell>
          <cell r="E85">
            <v>1148673</v>
          </cell>
          <cell r="F85">
            <v>1037101</v>
          </cell>
          <cell r="G85">
            <v>1005406</v>
          </cell>
          <cell r="H85">
            <v>967937</v>
          </cell>
          <cell r="I85">
            <v>926391</v>
          </cell>
          <cell r="J85">
            <v>856479</v>
          </cell>
          <cell r="K85">
            <v>874136</v>
          </cell>
          <cell r="L85">
            <v>845185</v>
          </cell>
          <cell r="M85">
            <v>860023</v>
          </cell>
          <cell r="N85">
            <v>957364</v>
          </cell>
          <cell r="O85">
            <v>986906</v>
          </cell>
          <cell r="P85">
            <v>0</v>
          </cell>
          <cell r="T85">
            <v>82</v>
          </cell>
          <cell r="U85" t="str">
            <v>Total Deliveries</v>
          </cell>
          <cell r="V85"/>
          <cell r="W85">
            <v>10659392</v>
          </cell>
          <cell r="X85">
            <v>1081617</v>
          </cell>
          <cell r="Y85">
            <v>964714</v>
          </cell>
          <cell r="Z85">
            <v>942363</v>
          </cell>
          <cell r="AA85">
            <v>752973</v>
          </cell>
          <cell r="AB85">
            <v>818816</v>
          </cell>
          <cell r="AC85">
            <v>797575</v>
          </cell>
          <cell r="AD85">
            <v>823985</v>
          </cell>
          <cell r="AE85">
            <v>734299</v>
          </cell>
          <cell r="AF85">
            <v>805744</v>
          </cell>
          <cell r="AG85">
            <v>867010</v>
          </cell>
          <cell r="AH85">
            <v>923492</v>
          </cell>
          <cell r="AI85">
            <v>1146804</v>
          </cell>
        </row>
        <row r="86">
          <cell r="A86">
            <v>83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T86">
            <v>83</v>
          </cell>
          <cell r="X86"/>
          <cell r="Y86"/>
          <cell r="Z86"/>
          <cell r="AA86"/>
          <cell r="AB86"/>
          <cell r="AC86"/>
          <cell r="AD86"/>
        </row>
        <row r="87">
          <cell r="A87">
            <v>84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T87">
            <v>84</v>
          </cell>
          <cell r="X87"/>
          <cell r="Y87"/>
          <cell r="Z87"/>
          <cell r="AA87"/>
          <cell r="AB87"/>
          <cell r="AC87"/>
          <cell r="AD87"/>
        </row>
        <row r="88">
          <cell r="A88">
            <v>85</v>
          </cell>
          <cell r="B88" t="str">
            <v>YTD/CUMULATIVE SECTION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T88">
            <v>85</v>
          </cell>
          <cell r="U88" t="str">
            <v>YTD/CUMULATIVE SECTION</v>
          </cell>
          <cell r="X88"/>
          <cell r="Y88"/>
          <cell r="Z88"/>
          <cell r="AA88"/>
          <cell r="AB88"/>
          <cell r="AC88"/>
          <cell r="AD88"/>
        </row>
        <row r="89">
          <cell r="A89">
            <v>86</v>
          </cell>
          <cell r="B89" t="str">
            <v>Customers- YTD average cumulative - 2019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T89">
            <v>86</v>
          </cell>
          <cell r="U89" t="str">
            <v>Customers - 2020</v>
          </cell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</row>
        <row r="90">
          <cell r="A90">
            <v>87</v>
          </cell>
          <cell r="C90"/>
          <cell r="D90"/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U90"/>
          <cell r="V90"/>
          <cell r="W90"/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C91"/>
          <cell r="D91"/>
          <cell r="E91">
            <v>61631</v>
          </cell>
          <cell r="F91">
            <v>61743</v>
          </cell>
          <cell r="G91">
            <v>61872</v>
          </cell>
          <cell r="H91">
            <v>62043</v>
          </cell>
          <cell r="I91">
            <v>62159</v>
          </cell>
          <cell r="J91">
            <v>62299</v>
          </cell>
          <cell r="K91">
            <v>62426</v>
          </cell>
          <cell r="L91">
            <v>62536</v>
          </cell>
          <cell r="M91">
            <v>62640</v>
          </cell>
          <cell r="N91">
            <v>62756</v>
          </cell>
          <cell r="O91">
            <v>62882</v>
          </cell>
          <cell r="P91">
            <v>57642</v>
          </cell>
          <cell r="T91">
            <v>88</v>
          </cell>
          <cell r="U91" t="str">
            <v>Residential</v>
          </cell>
          <cell r="V91"/>
          <cell r="W91"/>
          <cell r="X91">
            <v>58765</v>
          </cell>
          <cell r="Y91">
            <v>58841</v>
          </cell>
          <cell r="Z91">
            <v>58937</v>
          </cell>
          <cell r="AA91">
            <v>59078</v>
          </cell>
          <cell r="AB91">
            <v>59175</v>
          </cell>
          <cell r="AC91">
            <v>59280</v>
          </cell>
          <cell r="AD91">
            <v>59413</v>
          </cell>
          <cell r="AE91">
            <v>59526</v>
          </cell>
          <cell r="AF91">
            <v>59638</v>
          </cell>
          <cell r="AG91">
            <v>59761</v>
          </cell>
          <cell r="AH91">
            <v>59891</v>
          </cell>
          <cell r="AI91">
            <v>60016</v>
          </cell>
        </row>
        <row r="92">
          <cell r="A92">
            <v>89</v>
          </cell>
          <cell r="B92" t="str">
            <v>Commercial</v>
          </cell>
          <cell r="C92"/>
          <cell r="D92"/>
          <cell r="E92">
            <v>4109</v>
          </cell>
          <cell r="F92">
            <v>4107</v>
          </cell>
          <cell r="G92">
            <v>4106</v>
          </cell>
          <cell r="H92">
            <v>4104</v>
          </cell>
          <cell r="I92">
            <v>4099</v>
          </cell>
          <cell r="J92">
            <v>4099</v>
          </cell>
          <cell r="K92">
            <v>4098</v>
          </cell>
          <cell r="L92">
            <v>4095</v>
          </cell>
          <cell r="M92">
            <v>4089</v>
          </cell>
          <cell r="N92">
            <v>4083</v>
          </cell>
          <cell r="O92">
            <v>4079</v>
          </cell>
          <cell r="P92">
            <v>3739</v>
          </cell>
          <cell r="T92">
            <v>89</v>
          </cell>
          <cell r="U92" t="str">
            <v>Commercial</v>
          </cell>
          <cell r="V92"/>
          <cell r="W92"/>
          <cell r="X92">
            <v>4011</v>
          </cell>
          <cell r="Y92">
            <v>4010</v>
          </cell>
          <cell r="Z92">
            <v>4014</v>
          </cell>
          <cell r="AA92">
            <v>4018</v>
          </cell>
          <cell r="AB92">
            <v>4014</v>
          </cell>
          <cell r="AC92">
            <v>4014</v>
          </cell>
          <cell r="AD92">
            <v>4016</v>
          </cell>
          <cell r="AE92">
            <v>4015</v>
          </cell>
          <cell r="AF92">
            <v>4015</v>
          </cell>
          <cell r="AG92">
            <v>4017</v>
          </cell>
          <cell r="AH92">
            <v>4020</v>
          </cell>
          <cell r="AI92">
            <v>4023</v>
          </cell>
        </row>
        <row r="93">
          <cell r="A93">
            <v>90</v>
          </cell>
          <cell r="B93" t="str">
            <v xml:space="preserve">Industrial </v>
          </cell>
          <cell r="C93"/>
          <cell r="D93"/>
          <cell r="E93">
            <v>2484</v>
          </cell>
          <cell r="F93">
            <v>2482</v>
          </cell>
          <cell r="G93">
            <v>2485</v>
          </cell>
          <cell r="H93">
            <v>2490</v>
          </cell>
          <cell r="I93">
            <v>2494</v>
          </cell>
          <cell r="J93">
            <v>2495</v>
          </cell>
          <cell r="K93">
            <v>2498</v>
          </cell>
          <cell r="L93">
            <v>2502</v>
          </cell>
          <cell r="M93">
            <v>2507</v>
          </cell>
          <cell r="N93">
            <v>2513</v>
          </cell>
          <cell r="O93">
            <v>2519</v>
          </cell>
          <cell r="P93">
            <v>2309</v>
          </cell>
          <cell r="T93">
            <v>90</v>
          </cell>
          <cell r="U93" t="str">
            <v xml:space="preserve">Industrial </v>
          </cell>
          <cell r="V93"/>
          <cell r="W93"/>
          <cell r="X93">
            <v>2469</v>
          </cell>
          <cell r="Y93">
            <v>2474</v>
          </cell>
          <cell r="Z93">
            <v>2474</v>
          </cell>
          <cell r="AA93">
            <v>2478</v>
          </cell>
          <cell r="AB93">
            <v>2481</v>
          </cell>
          <cell r="AC93">
            <v>2484</v>
          </cell>
          <cell r="AD93">
            <v>2486</v>
          </cell>
          <cell r="AE93">
            <v>2487</v>
          </cell>
          <cell r="AF93">
            <v>2487</v>
          </cell>
          <cell r="AG93">
            <v>2489</v>
          </cell>
          <cell r="AH93">
            <v>2489</v>
          </cell>
          <cell r="AI93">
            <v>2490</v>
          </cell>
        </row>
        <row r="94">
          <cell r="A94">
            <v>91</v>
          </cell>
          <cell r="B94" t="str">
            <v>Other</v>
          </cell>
          <cell r="C94"/>
          <cell r="D94"/>
          <cell r="E94">
            <v>6</v>
          </cell>
          <cell r="F94">
            <v>6</v>
          </cell>
          <cell r="G94">
            <v>6</v>
          </cell>
          <cell r="H94">
            <v>6</v>
          </cell>
          <cell r="I94">
            <v>6</v>
          </cell>
          <cell r="J94">
            <v>6</v>
          </cell>
          <cell r="K94">
            <v>6</v>
          </cell>
          <cell r="L94">
            <v>6</v>
          </cell>
          <cell r="M94">
            <v>6</v>
          </cell>
          <cell r="N94">
            <v>6</v>
          </cell>
          <cell r="O94">
            <v>6</v>
          </cell>
          <cell r="P94">
            <v>6</v>
          </cell>
          <cell r="T94">
            <v>91</v>
          </cell>
          <cell r="U94" t="str">
            <v>Other</v>
          </cell>
          <cell r="V94"/>
          <cell r="W94"/>
          <cell r="X94">
            <v>5</v>
          </cell>
          <cell r="Y94">
            <v>5</v>
          </cell>
          <cell r="Z94">
            <v>5</v>
          </cell>
          <cell r="AA94">
            <v>5</v>
          </cell>
          <cell r="AB94">
            <v>5</v>
          </cell>
          <cell r="AC94">
            <v>5</v>
          </cell>
          <cell r="AD94">
            <v>5</v>
          </cell>
          <cell r="AE94">
            <v>5</v>
          </cell>
          <cell r="AF94">
            <v>5</v>
          </cell>
          <cell r="AG94">
            <v>5</v>
          </cell>
          <cell r="AH94">
            <v>5</v>
          </cell>
          <cell r="AI94">
            <v>5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68230</v>
          </cell>
          <cell r="F95">
            <v>68338</v>
          </cell>
          <cell r="G95">
            <v>68469</v>
          </cell>
          <cell r="H95">
            <v>68643</v>
          </cell>
          <cell r="I95">
            <v>68758</v>
          </cell>
          <cell r="J95">
            <v>68899</v>
          </cell>
          <cell r="K95">
            <v>69028</v>
          </cell>
          <cell r="L95">
            <v>69139</v>
          </cell>
          <cell r="M95">
            <v>69242</v>
          </cell>
          <cell r="N95">
            <v>69358</v>
          </cell>
          <cell r="O95">
            <v>69486</v>
          </cell>
          <cell r="P95">
            <v>63696</v>
          </cell>
          <cell r="T95">
            <v>92</v>
          </cell>
          <cell r="U95" t="str">
            <v>Total customers</v>
          </cell>
          <cell r="V95"/>
          <cell r="W95"/>
          <cell r="X95">
            <v>65250</v>
          </cell>
          <cell r="Y95">
            <v>65330</v>
          </cell>
          <cell r="Z95">
            <v>65430</v>
          </cell>
          <cell r="AA95">
            <v>65579</v>
          </cell>
          <cell r="AB95">
            <v>65675</v>
          </cell>
          <cell r="AC95">
            <v>65783</v>
          </cell>
          <cell r="AD95">
            <v>65920</v>
          </cell>
          <cell r="AE95">
            <v>66033</v>
          </cell>
          <cell r="AF95">
            <v>66145</v>
          </cell>
          <cell r="AG95">
            <v>66272</v>
          </cell>
          <cell r="AH95">
            <v>66405</v>
          </cell>
          <cell r="AI95">
            <v>66534</v>
          </cell>
        </row>
        <row r="96">
          <cell r="A96">
            <v>93</v>
          </cell>
          <cell r="H96"/>
          <cell r="I96"/>
          <cell r="J96"/>
          <cell r="K96"/>
          <cell r="L96"/>
          <cell r="M96"/>
          <cell r="N96"/>
          <cell r="O96"/>
          <cell r="P96"/>
          <cell r="T96">
            <v>93</v>
          </cell>
        </row>
        <row r="97">
          <cell r="A97">
            <v>94</v>
          </cell>
          <cell r="H97"/>
          <cell r="I97"/>
          <cell r="J97"/>
          <cell r="K97"/>
          <cell r="L97"/>
          <cell r="M97"/>
          <cell r="N97"/>
          <cell r="O97"/>
          <cell r="P97">
            <v>83936</v>
          </cell>
          <cell r="T97">
            <v>94</v>
          </cell>
        </row>
        <row r="98">
          <cell r="A98">
            <v>95</v>
          </cell>
          <cell r="B98" t="str">
            <v>Volume - 2021 - Cumulative total- Mcfs</v>
          </cell>
          <cell r="D98"/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- 2020 -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D99"/>
          <cell r="E99">
            <v>246112.77436946263</v>
          </cell>
          <cell r="F99">
            <v>436043.16096990905</v>
          </cell>
          <cell r="G99">
            <v>599001.13935144688</v>
          </cell>
          <cell r="H99">
            <v>754601.47920927044</v>
          </cell>
          <cell r="I99">
            <v>872793.25055993849</v>
          </cell>
          <cell r="J99">
            <v>967028.50034083531</v>
          </cell>
          <cell r="K99">
            <v>1053928.7418443931</v>
          </cell>
          <cell r="L99">
            <v>1128562.4432758891</v>
          </cell>
          <cell r="M99">
            <v>1210314.4580777234</v>
          </cell>
          <cell r="N99">
            <v>1295436.8692180514</v>
          </cell>
          <cell r="O99">
            <v>1415398.9531600142</v>
          </cell>
          <cell r="P99">
            <v>1415398.9531600142</v>
          </cell>
          <cell r="T99">
            <v>96</v>
          </cell>
          <cell r="U99" t="str">
            <v>Residential</v>
          </cell>
          <cell r="W99"/>
          <cell r="X99">
            <v>187006.33752069631</v>
          </cell>
          <cell r="Y99">
            <v>352888.62304022419</v>
          </cell>
          <cell r="Z99">
            <v>503391.36819554679</v>
          </cell>
          <cell r="AA99">
            <v>642078.31434415211</v>
          </cell>
          <cell r="AB99">
            <v>771438.97166229703</v>
          </cell>
          <cell r="AC99">
            <v>869883.46966600232</v>
          </cell>
          <cell r="AD99">
            <v>954697.05910996255</v>
          </cell>
          <cell r="AE99">
            <v>1030871.6135943364</v>
          </cell>
          <cell r="AF99">
            <v>1106765.5896387442</v>
          </cell>
          <cell r="AG99">
            <v>1189385.4464894652</v>
          </cell>
          <cell r="AH99">
            <v>1306121.4597332124</v>
          </cell>
          <cell r="AI99">
            <v>1493149.0690427856</v>
          </cell>
        </row>
        <row r="100">
          <cell r="A100">
            <v>97</v>
          </cell>
          <cell r="B100" t="str">
            <v>Commercial</v>
          </cell>
          <cell r="D100"/>
          <cell r="E100">
            <v>178511.01373064553</v>
          </cell>
          <cell r="F100">
            <v>337128.60843314813</v>
          </cell>
          <cell r="G100">
            <v>481147.77680397296</v>
          </cell>
          <cell r="H100">
            <v>636354.35095919727</v>
          </cell>
          <cell r="I100">
            <v>765603.59041776182</v>
          </cell>
          <cell r="J100">
            <v>879556.40373940952</v>
          </cell>
          <cell r="K100">
            <v>996686.8682442297</v>
          </cell>
          <cell r="L100">
            <v>1099277.7164280838</v>
          </cell>
          <cell r="M100">
            <v>1205075.9499464401</v>
          </cell>
          <cell r="N100">
            <v>1314582.1073132723</v>
          </cell>
          <cell r="O100">
            <v>1437460.6436848759</v>
          </cell>
          <cell r="P100">
            <v>1437460.6436848759</v>
          </cell>
          <cell r="T100">
            <v>97</v>
          </cell>
          <cell r="U100" t="str">
            <v>Commercial</v>
          </cell>
          <cell r="W100"/>
          <cell r="X100">
            <v>184037.55088129322</v>
          </cell>
          <cell r="Y100">
            <v>355346.26740675827</v>
          </cell>
          <cell r="Z100">
            <v>505972.09173239843</v>
          </cell>
          <cell r="AA100">
            <v>606117.82744181517</v>
          </cell>
          <cell r="AB100">
            <v>701688.9161554192</v>
          </cell>
          <cell r="AC100">
            <v>795185.41143246659</v>
          </cell>
          <cell r="AD100">
            <v>896379.30665108562</v>
          </cell>
          <cell r="AE100">
            <v>995381.30197682336</v>
          </cell>
          <cell r="AF100">
            <v>1089765.4065634431</v>
          </cell>
          <cell r="AG100">
            <v>1191898.1867757326</v>
          </cell>
          <cell r="AH100">
            <v>1312488.3299250167</v>
          </cell>
          <cell r="AI100">
            <v>1458225.1738241306</v>
          </cell>
        </row>
        <row r="101">
          <cell r="A101">
            <v>98</v>
          </cell>
          <cell r="B101" t="str">
            <v xml:space="preserve">Industrial </v>
          </cell>
          <cell r="D101"/>
          <cell r="E101">
            <v>448497.35514655767</v>
          </cell>
          <cell r="F101">
            <v>849752.9584185417</v>
          </cell>
          <cell r="G101">
            <v>1269997.736877983</v>
          </cell>
          <cell r="H101">
            <v>1679363.0012659468</v>
          </cell>
          <cell r="I101">
            <v>2078270.0954328568</v>
          </cell>
          <cell r="J101">
            <v>2442286.6335573094</v>
          </cell>
          <cell r="K101">
            <v>2826618.0338884033</v>
          </cell>
          <cell r="L101">
            <v>3194849.4196124272</v>
          </cell>
          <cell r="M101">
            <v>3580136.2868828522</v>
          </cell>
          <cell r="N101">
            <v>3977107.5869120662</v>
          </cell>
          <cell r="O101">
            <v>4391365.4942058632</v>
          </cell>
          <cell r="P101">
            <v>4391365.4942058632</v>
          </cell>
          <cell r="T101">
            <v>98</v>
          </cell>
          <cell r="U101" t="str">
            <v xml:space="preserve">Industrial </v>
          </cell>
          <cell r="W101"/>
          <cell r="X101">
            <v>466783.26808842132</v>
          </cell>
          <cell r="Y101">
            <v>901482.03525172791</v>
          </cell>
          <cell r="Z101">
            <v>1327651.0935826269</v>
          </cell>
          <cell r="AA101">
            <v>1662585.9966890635</v>
          </cell>
          <cell r="AB101">
            <v>1989252.2816243055</v>
          </cell>
          <cell r="AC101">
            <v>2323533.0908559738</v>
          </cell>
          <cell r="AD101">
            <v>2681085.7610283373</v>
          </cell>
          <cell r="AE101">
            <v>3026993.425844775</v>
          </cell>
          <cell r="AF101">
            <v>3375317.1087739794</v>
          </cell>
          <cell r="AG101">
            <v>3734021.5152400425</v>
          </cell>
          <cell r="AH101">
            <v>4113409.925990846</v>
          </cell>
          <cell r="AI101">
            <v>4531784.5661700256</v>
          </cell>
        </row>
        <row r="102">
          <cell r="A102">
            <v>99</v>
          </cell>
          <cell r="B102" t="str">
            <v>Other</v>
          </cell>
          <cell r="D102"/>
          <cell r="E102">
            <v>245462.17109747784</v>
          </cell>
          <cell r="F102">
            <v>505592.47025026777</v>
          </cell>
          <cell r="G102">
            <v>757439.38494498003</v>
          </cell>
          <cell r="H102">
            <v>979848.78021228942</v>
          </cell>
          <cell r="I102">
            <v>1235624.2267991041</v>
          </cell>
          <cell r="J102">
            <v>1497462.5260492745</v>
          </cell>
          <cell r="K102">
            <v>1760338.3560229819</v>
          </cell>
          <cell r="L102">
            <v>2037927.2342000196</v>
          </cell>
          <cell r="M102">
            <v>2302584.9045671439</v>
          </cell>
          <cell r="N102">
            <v>2643270.9396241116</v>
          </cell>
          <cell r="O102">
            <v>2947226.6509884121</v>
          </cell>
          <cell r="P102">
            <v>2947226.6509884121</v>
          </cell>
          <cell r="T102">
            <v>99</v>
          </cell>
          <cell r="U102" t="str">
            <v>Other</v>
          </cell>
          <cell r="W102"/>
          <cell r="X102">
            <v>215456.01538611352</v>
          </cell>
          <cell r="Y102">
            <v>383008.47044502868</v>
          </cell>
          <cell r="Z102">
            <v>573388.41016652063</v>
          </cell>
          <cell r="AA102">
            <v>732868.43860161654</v>
          </cell>
          <cell r="AB102">
            <v>978637.51747979363</v>
          </cell>
          <cell r="AC102">
            <v>1229096.9442009933</v>
          </cell>
          <cell r="AD102">
            <v>1487936.7227578149</v>
          </cell>
          <cell r="AE102">
            <v>1681915.2287467136</v>
          </cell>
          <cell r="AF102">
            <v>1947950.3723829002</v>
          </cell>
          <cell r="AG102">
            <v>2248792.0239555947</v>
          </cell>
          <cell r="AH102">
            <v>2531378.7694030581</v>
          </cell>
          <cell r="AI102">
            <v>2897002.6248904471</v>
          </cell>
        </row>
        <row r="103">
          <cell r="A103">
            <v>100</v>
          </cell>
          <cell r="B103" t="str">
            <v>Total Deliveries</v>
          </cell>
          <cell r="C103"/>
          <cell r="D103">
            <v>0</v>
          </cell>
          <cell r="E103">
            <v>1118583.3143441437</v>
          </cell>
          <cell r="F103">
            <v>2128517.1980718663</v>
          </cell>
          <cell r="G103">
            <v>3107586.0379783828</v>
          </cell>
          <cell r="H103">
            <v>4050167.6116467044</v>
          </cell>
          <cell r="I103">
            <v>4952291.1632096618</v>
          </cell>
          <cell r="J103">
            <v>5786334.0636868291</v>
          </cell>
          <cell r="K103">
            <v>6637572.0000000075</v>
          </cell>
          <cell r="L103">
            <v>7460616.8135164194</v>
          </cell>
          <cell r="M103">
            <v>8298111.5994741591</v>
          </cell>
          <cell r="N103">
            <v>9230397.5030675028</v>
          </cell>
          <cell r="O103">
            <v>10191451.742039166</v>
          </cell>
          <cell r="P103">
            <v>10191451.742039166</v>
          </cell>
          <cell r="T103">
            <v>100</v>
          </cell>
          <cell r="U103" t="str">
            <v>Total Deliveries</v>
          </cell>
          <cell r="V103"/>
          <cell r="W103"/>
          <cell r="X103">
            <v>1053283.1718765243</v>
          </cell>
          <cell r="Y103">
            <v>1992725.3961437391</v>
          </cell>
          <cell r="Z103">
            <v>2910402.9636770925</v>
          </cell>
          <cell r="AA103">
            <v>3643650.5770766474</v>
          </cell>
          <cell r="AB103">
            <v>4441017.6869218154</v>
          </cell>
          <cell r="AC103">
            <v>5217698.9161554361</v>
          </cell>
          <cell r="AD103">
            <v>6020098.8495471999</v>
          </cell>
          <cell r="AE103">
            <v>6735161.5701626483</v>
          </cell>
          <cell r="AF103">
            <v>7519798.4773590676</v>
          </cell>
          <cell r="AG103">
            <v>8364097.1724608354</v>
          </cell>
          <cell r="AH103">
            <v>9263398.485052133</v>
          </cell>
          <cell r="AI103">
            <v>10380161.433927389</v>
          </cell>
        </row>
        <row r="104">
          <cell r="A104">
            <v>101</v>
          </cell>
          <cell r="H104"/>
          <cell r="I104"/>
          <cell r="J104"/>
          <cell r="K104"/>
          <cell r="L104"/>
          <cell r="M104"/>
          <cell r="N104"/>
          <cell r="O104"/>
          <cell r="P104"/>
          <cell r="T104">
            <v>101</v>
          </cell>
        </row>
        <row r="105">
          <cell r="A105">
            <v>102</v>
          </cell>
          <cell r="H105"/>
          <cell r="I105"/>
          <cell r="J105"/>
          <cell r="K105"/>
          <cell r="L105"/>
          <cell r="M105"/>
          <cell r="N105"/>
          <cell r="O105"/>
          <cell r="P105"/>
          <cell r="T105">
            <v>102</v>
          </cell>
        </row>
        <row r="106">
          <cell r="A106">
            <v>103</v>
          </cell>
          <cell r="B106" t="str">
            <v>Volume - 2021 -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- 2020 -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D107"/>
          <cell r="E107">
            <v>252733</v>
          </cell>
          <cell r="F107">
            <v>447773</v>
          </cell>
          <cell r="G107">
            <v>615115</v>
          </cell>
          <cell r="H107">
            <v>774901</v>
          </cell>
          <cell r="I107">
            <v>896272</v>
          </cell>
          <cell r="J107">
            <v>993042</v>
          </cell>
          <cell r="K107">
            <v>1082280</v>
          </cell>
          <cell r="L107">
            <v>1158921</v>
          </cell>
          <cell r="M107">
            <v>1242872</v>
          </cell>
          <cell r="N107">
            <v>1330284</v>
          </cell>
          <cell r="O107">
            <v>1453473</v>
          </cell>
          <cell r="P107">
            <v>1453473</v>
          </cell>
          <cell r="T107">
            <v>104</v>
          </cell>
          <cell r="U107" t="str">
            <v>Residential</v>
          </cell>
          <cell r="X107">
            <v>192037</v>
          </cell>
          <cell r="Y107">
            <v>362382</v>
          </cell>
          <cell r="Z107">
            <v>516933</v>
          </cell>
          <cell r="AA107">
            <v>659351</v>
          </cell>
          <cell r="AB107">
            <v>792191</v>
          </cell>
          <cell r="AC107">
            <v>893284</v>
          </cell>
          <cell r="AD107">
            <v>980379</v>
          </cell>
          <cell r="AE107">
            <v>1058603</v>
          </cell>
          <cell r="AF107">
            <v>1136539</v>
          </cell>
          <cell r="AG107">
            <v>1221381</v>
          </cell>
          <cell r="AH107">
            <v>1341257</v>
          </cell>
          <cell r="AI107">
            <v>1533316</v>
          </cell>
        </row>
        <row r="108">
          <cell r="A108">
            <v>105</v>
          </cell>
          <cell r="B108" t="str">
            <v>Commercial</v>
          </cell>
          <cell r="D108"/>
          <cell r="E108">
            <v>183313</v>
          </cell>
          <cell r="F108">
            <v>346197</v>
          </cell>
          <cell r="G108">
            <v>494090</v>
          </cell>
          <cell r="H108">
            <v>653472</v>
          </cell>
          <cell r="I108">
            <v>786198</v>
          </cell>
          <cell r="J108">
            <v>903216</v>
          </cell>
          <cell r="K108">
            <v>1023497</v>
          </cell>
          <cell r="L108">
            <v>1128848</v>
          </cell>
          <cell r="M108">
            <v>1237492</v>
          </cell>
          <cell r="N108">
            <v>1349944</v>
          </cell>
          <cell r="O108">
            <v>1476128</v>
          </cell>
          <cell r="P108">
            <v>1476128</v>
          </cell>
          <cell r="T108">
            <v>105</v>
          </cell>
          <cell r="U108" t="str">
            <v>Commercial</v>
          </cell>
          <cell r="X108">
            <v>188988</v>
          </cell>
          <cell r="Y108">
            <v>364905</v>
          </cell>
          <cell r="Z108">
            <v>519583</v>
          </cell>
          <cell r="AA108">
            <v>622423</v>
          </cell>
          <cell r="AB108">
            <v>720565</v>
          </cell>
          <cell r="AC108">
            <v>816577</v>
          </cell>
          <cell r="AD108">
            <v>920493</v>
          </cell>
          <cell r="AE108">
            <v>1022158</v>
          </cell>
          <cell r="AF108">
            <v>1119081</v>
          </cell>
          <cell r="AG108">
            <v>1223961</v>
          </cell>
          <cell r="AH108">
            <v>1347795</v>
          </cell>
          <cell r="AI108">
            <v>1497452</v>
          </cell>
        </row>
        <row r="109">
          <cell r="A109">
            <v>106</v>
          </cell>
          <cell r="B109" t="str">
            <v xml:space="preserve">Industrial </v>
          </cell>
          <cell r="D109"/>
          <cell r="E109">
            <v>460562</v>
          </cell>
          <cell r="F109">
            <v>872611</v>
          </cell>
          <cell r="G109">
            <v>1304160</v>
          </cell>
          <cell r="H109">
            <v>1724537</v>
          </cell>
          <cell r="I109">
            <v>2134175</v>
          </cell>
          <cell r="J109">
            <v>2507984</v>
          </cell>
          <cell r="K109">
            <v>2902654</v>
          </cell>
          <cell r="L109">
            <v>3280791</v>
          </cell>
          <cell r="M109">
            <v>3676442</v>
          </cell>
          <cell r="N109">
            <v>4084092</v>
          </cell>
          <cell r="O109">
            <v>4509493</v>
          </cell>
          <cell r="P109">
            <v>4509493</v>
          </cell>
          <cell r="T109">
            <v>106</v>
          </cell>
          <cell r="U109" t="str">
            <v xml:space="preserve">Industrial </v>
          </cell>
          <cell r="W109"/>
          <cell r="X109">
            <v>479340</v>
          </cell>
          <cell r="Y109">
            <v>925732</v>
          </cell>
          <cell r="Z109">
            <v>1363365</v>
          </cell>
          <cell r="AA109">
            <v>1707310</v>
          </cell>
          <cell r="AB109">
            <v>2042764</v>
          </cell>
          <cell r="AC109">
            <v>2386037</v>
          </cell>
          <cell r="AD109">
            <v>2753208</v>
          </cell>
          <cell r="AE109">
            <v>3108421</v>
          </cell>
          <cell r="AF109">
            <v>3466115</v>
          </cell>
          <cell r="AG109">
            <v>3834469</v>
          </cell>
          <cell r="AH109">
            <v>4224063</v>
          </cell>
          <cell r="AI109">
            <v>4653692</v>
          </cell>
        </row>
        <row r="110">
          <cell r="A110">
            <v>107</v>
          </cell>
          <cell r="B110" t="str">
            <v>Other</v>
          </cell>
          <cell r="D110"/>
          <cell r="E110">
            <v>252065</v>
          </cell>
          <cell r="F110">
            <v>519193</v>
          </cell>
          <cell r="G110">
            <v>777815</v>
          </cell>
          <cell r="H110">
            <v>1006207</v>
          </cell>
          <cell r="I110">
            <v>1268863</v>
          </cell>
          <cell r="J110">
            <v>1537745</v>
          </cell>
          <cell r="K110">
            <v>1807692</v>
          </cell>
          <cell r="L110">
            <v>2092748</v>
          </cell>
          <cell r="M110">
            <v>2364525</v>
          </cell>
          <cell r="N110">
            <v>2714375</v>
          </cell>
          <cell r="O110">
            <v>3026507</v>
          </cell>
          <cell r="P110">
            <v>3026507</v>
          </cell>
          <cell r="T110">
            <v>107</v>
          </cell>
          <cell r="U110" t="str">
            <v>Other</v>
          </cell>
          <cell r="W110"/>
          <cell r="X110">
            <v>221252</v>
          </cell>
          <cell r="Y110">
            <v>393312</v>
          </cell>
          <cell r="Z110">
            <v>588813</v>
          </cell>
          <cell r="AA110">
            <v>752583</v>
          </cell>
          <cell r="AB110">
            <v>1004963</v>
          </cell>
          <cell r="AC110">
            <v>1262160</v>
          </cell>
          <cell r="AD110">
            <v>1527963</v>
          </cell>
          <cell r="AE110">
            <v>1727160</v>
          </cell>
          <cell r="AF110">
            <v>2000351</v>
          </cell>
          <cell r="AG110">
            <v>2309285</v>
          </cell>
          <cell r="AH110">
            <v>2599473</v>
          </cell>
          <cell r="AI110">
            <v>2974932</v>
          </cell>
        </row>
        <row r="111">
          <cell r="A111">
            <v>108</v>
          </cell>
          <cell r="B111" t="str">
            <v>Total Deliveries</v>
          </cell>
          <cell r="C111"/>
          <cell r="D111">
            <v>0</v>
          </cell>
          <cell r="E111">
            <v>1148673</v>
          </cell>
          <cell r="F111">
            <v>2185774</v>
          </cell>
          <cell r="G111">
            <v>3191180</v>
          </cell>
          <cell r="H111">
            <v>4159117</v>
          </cell>
          <cell r="I111">
            <v>5085508</v>
          </cell>
          <cell r="J111">
            <v>5941987</v>
          </cell>
          <cell r="K111">
            <v>6816123</v>
          </cell>
          <cell r="L111">
            <v>7661308</v>
          </cell>
          <cell r="M111">
            <v>8521331</v>
          </cell>
          <cell r="N111">
            <v>9478695</v>
          </cell>
          <cell r="O111">
            <v>10465601</v>
          </cell>
          <cell r="P111">
            <v>10465601</v>
          </cell>
          <cell r="T111">
            <v>108</v>
          </cell>
          <cell r="U111" t="str">
            <v>Total Deliveries</v>
          </cell>
          <cell r="V111"/>
          <cell r="W111">
            <v>0</v>
          </cell>
          <cell r="X111">
            <v>1081617</v>
          </cell>
          <cell r="Y111">
            <v>2046331</v>
          </cell>
          <cell r="Z111">
            <v>2988694</v>
          </cell>
          <cell r="AA111">
            <v>3741667</v>
          </cell>
          <cell r="AB111">
            <v>4560483</v>
          </cell>
          <cell r="AC111">
            <v>5358058</v>
          </cell>
          <cell r="AD111">
            <v>6182043</v>
          </cell>
          <cell r="AE111">
            <v>6916342</v>
          </cell>
          <cell r="AF111">
            <v>7722086</v>
          </cell>
          <cell r="AG111">
            <v>8589096</v>
          </cell>
          <cell r="AH111">
            <v>9512588</v>
          </cell>
          <cell r="AI111">
            <v>10659392</v>
          </cell>
        </row>
        <row r="112">
          <cell r="A112">
            <v>109</v>
          </cell>
          <cell r="H112"/>
          <cell r="I112"/>
          <cell r="J112"/>
          <cell r="K112"/>
          <cell r="L112"/>
          <cell r="M112"/>
          <cell r="N112"/>
          <cell r="O112"/>
          <cell r="P112"/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C113"/>
          <cell r="D113"/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V113"/>
          <cell r="W113"/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C114"/>
          <cell r="D114"/>
          <cell r="E114">
            <v>67816</v>
          </cell>
          <cell r="F114">
            <v>67847</v>
          </cell>
          <cell r="G114">
            <v>67938</v>
          </cell>
          <cell r="H114">
            <v>68066</v>
          </cell>
          <cell r="I114">
            <v>68145</v>
          </cell>
          <cell r="J114">
            <v>68224</v>
          </cell>
          <cell r="K114">
            <v>68326</v>
          </cell>
          <cell r="L114">
            <v>68383</v>
          </cell>
          <cell r="M114">
            <v>68444</v>
          </cell>
          <cell r="N114">
            <v>68500</v>
          </cell>
          <cell r="O114">
            <v>68572</v>
          </cell>
          <cell r="P114">
            <v>68657</v>
          </cell>
          <cell r="T114">
            <v>111</v>
          </cell>
          <cell r="U114" t="str">
            <v xml:space="preserve">Customers </v>
          </cell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</row>
        <row r="115">
          <cell r="A115">
            <v>112</v>
          </cell>
          <cell r="B115" t="str">
            <v>Volume (mcfs)</v>
          </cell>
          <cell r="C115"/>
          <cell r="D115"/>
          <cell r="E115">
            <v>1088420.5515327286</v>
          </cell>
          <cell r="F115">
            <v>2019455.160957834</v>
          </cell>
          <cell r="G115">
            <v>2962921.6508499221</v>
          </cell>
          <cell r="H115">
            <v>3845611.5083998414</v>
          </cell>
          <cell r="I115">
            <v>4669162.1869417429</v>
          </cell>
          <cell r="J115">
            <v>5478170.3363584708</v>
          </cell>
          <cell r="K115">
            <v>6233367.715448156</v>
          </cell>
          <cell r="L115">
            <v>7012790.1685843011</v>
          </cell>
          <cell r="M115">
            <v>7764547.8403342301</v>
          </cell>
          <cell r="N115">
            <v>8577415.7283654958</v>
          </cell>
          <cell r="O115">
            <v>9481264.342980152</v>
          </cell>
          <cell r="P115">
            <v>10524054.180643028</v>
          </cell>
          <cell r="T115">
            <v>112</v>
          </cell>
          <cell r="U115" t="str">
            <v>Volume (mcfs)</v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</row>
        <row r="116">
          <cell r="A116">
            <v>113</v>
          </cell>
          <cell r="B116" t="str">
            <v>Volume (dts)</v>
          </cell>
          <cell r="C116"/>
          <cell r="D116"/>
          <cell r="E116">
            <v>1117699</v>
          </cell>
          <cell r="F116">
            <v>2073778</v>
          </cell>
          <cell r="G116">
            <v>3042624</v>
          </cell>
          <cell r="H116">
            <v>3949058</v>
          </cell>
          <cell r="I116">
            <v>4794762</v>
          </cell>
          <cell r="J116">
            <v>5625532</v>
          </cell>
          <cell r="K116">
            <v>6401044</v>
          </cell>
          <cell r="L116">
            <v>7201433</v>
          </cell>
          <cell r="M116">
            <v>7973413</v>
          </cell>
          <cell r="N116">
            <v>8808147</v>
          </cell>
          <cell r="O116">
            <v>9736309</v>
          </cell>
          <cell r="P116">
            <v>10807150</v>
          </cell>
          <cell r="T116">
            <v>113</v>
          </cell>
          <cell r="U116" t="str">
            <v>Volume (dts)</v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</row>
      </sheetData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/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20742</v>
          </cell>
          <cell r="D5">
            <v>228161</v>
          </cell>
          <cell r="E5">
            <v>25232</v>
          </cell>
          <cell r="F5">
            <v>25220</v>
          </cell>
          <cell r="G5">
            <v>25301</v>
          </cell>
          <cell r="H5">
            <v>25425</v>
          </cell>
          <cell r="I5">
            <v>25342</v>
          </cell>
          <cell r="J5">
            <v>25418</v>
          </cell>
          <cell r="K5">
            <v>25419</v>
          </cell>
          <cell r="L5">
            <v>25429</v>
          </cell>
          <cell r="M5">
            <v>25375</v>
          </cell>
          <cell r="N5"/>
          <cell r="O5"/>
          <cell r="P5"/>
          <cell r="T5">
            <v>2</v>
          </cell>
          <cell r="U5" t="str">
            <v>Residential</v>
          </cell>
          <cell r="V5"/>
          <cell r="W5">
            <v>300532</v>
          </cell>
          <cell r="X5">
            <v>24863</v>
          </cell>
          <cell r="Y5">
            <v>24848</v>
          </cell>
          <cell r="Z5">
            <v>24969</v>
          </cell>
          <cell r="AA5">
            <v>24895</v>
          </cell>
          <cell r="AB5">
            <v>24912</v>
          </cell>
          <cell r="AC5">
            <v>25048</v>
          </cell>
          <cell r="AD5">
            <v>25117</v>
          </cell>
          <cell r="AE5">
            <v>25093</v>
          </cell>
          <cell r="AF5">
            <v>25101</v>
          </cell>
          <cell r="AG5">
            <v>25206</v>
          </cell>
          <cell r="AH5">
            <v>25250</v>
          </cell>
          <cell r="AI5">
            <v>25230</v>
          </cell>
        </row>
        <row r="6">
          <cell r="A6">
            <v>3</v>
          </cell>
          <cell r="B6" t="str">
            <v>Commercial</v>
          </cell>
          <cell r="C6">
            <v>6002</v>
          </cell>
          <cell r="D6">
            <v>66026</v>
          </cell>
          <cell r="E6">
            <v>7312</v>
          </cell>
          <cell r="F6">
            <v>7324</v>
          </cell>
          <cell r="G6">
            <v>7319</v>
          </cell>
          <cell r="H6">
            <v>7346</v>
          </cell>
          <cell r="I6">
            <v>7327</v>
          </cell>
          <cell r="J6">
            <v>7356</v>
          </cell>
          <cell r="K6">
            <v>7348</v>
          </cell>
          <cell r="L6">
            <v>7367</v>
          </cell>
          <cell r="M6">
            <v>7327</v>
          </cell>
          <cell r="N6"/>
          <cell r="O6"/>
          <cell r="P6"/>
          <cell r="T6">
            <v>3</v>
          </cell>
          <cell r="U6" t="str">
            <v>Commercial</v>
          </cell>
          <cell r="V6"/>
          <cell r="W6">
            <v>87361</v>
          </cell>
          <cell r="X6">
            <v>7282</v>
          </cell>
          <cell r="Y6">
            <v>7252</v>
          </cell>
          <cell r="Z6">
            <v>7247</v>
          </cell>
          <cell r="AA6">
            <v>7267</v>
          </cell>
          <cell r="AB6">
            <v>7254</v>
          </cell>
          <cell r="AC6">
            <v>7267</v>
          </cell>
          <cell r="AD6">
            <v>7280</v>
          </cell>
          <cell r="AE6">
            <v>7272</v>
          </cell>
          <cell r="AF6">
            <v>7295</v>
          </cell>
          <cell r="AG6">
            <v>7315</v>
          </cell>
          <cell r="AH6">
            <v>7307</v>
          </cell>
          <cell r="AI6">
            <v>7323</v>
          </cell>
        </row>
        <row r="7">
          <cell r="A7">
            <v>4</v>
          </cell>
          <cell r="B7" t="str">
            <v xml:space="preserve">Industrial </v>
          </cell>
          <cell r="C7">
            <v>2</v>
          </cell>
          <cell r="D7">
            <v>18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/>
          <cell r="O7"/>
          <cell r="P7"/>
          <cell r="T7">
            <v>4</v>
          </cell>
          <cell r="U7" t="str">
            <v xml:space="preserve">Industrial </v>
          </cell>
          <cell r="V7"/>
          <cell r="W7">
            <v>24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/>
          <cell r="O8"/>
          <cell r="P8"/>
          <cell r="T8">
            <v>5</v>
          </cell>
          <cell r="U8" t="str">
            <v>Other</v>
          </cell>
          <cell r="V8"/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26746</v>
          </cell>
          <cell r="D9">
            <v>294205</v>
          </cell>
          <cell r="E9">
            <v>32546</v>
          </cell>
          <cell r="F9">
            <v>32546</v>
          </cell>
          <cell r="G9">
            <v>32622</v>
          </cell>
          <cell r="H9">
            <v>32773</v>
          </cell>
          <cell r="I9">
            <v>32671</v>
          </cell>
          <cell r="J9">
            <v>32776</v>
          </cell>
          <cell r="K9">
            <v>32769</v>
          </cell>
          <cell r="L9">
            <v>32798</v>
          </cell>
          <cell r="M9">
            <v>32704</v>
          </cell>
          <cell r="N9">
            <v>0</v>
          </cell>
          <cell r="O9">
            <v>0</v>
          </cell>
          <cell r="P9">
            <v>0</v>
          </cell>
          <cell r="T9">
            <v>6</v>
          </cell>
          <cell r="U9" t="str">
            <v>Total customers</v>
          </cell>
          <cell r="V9"/>
          <cell r="W9">
            <v>387917</v>
          </cell>
          <cell r="X9">
            <v>32147</v>
          </cell>
          <cell r="Y9">
            <v>32102</v>
          </cell>
          <cell r="Z9">
            <v>32218</v>
          </cell>
          <cell r="AA9">
            <v>32164</v>
          </cell>
          <cell r="AB9">
            <v>32168</v>
          </cell>
          <cell r="AC9">
            <v>32317</v>
          </cell>
          <cell r="AD9">
            <v>32399</v>
          </cell>
          <cell r="AE9">
            <v>32367</v>
          </cell>
          <cell r="AF9">
            <v>32398</v>
          </cell>
          <cell r="AG9">
            <v>32523</v>
          </cell>
          <cell r="AH9">
            <v>32559</v>
          </cell>
          <cell r="AI9">
            <v>32555</v>
          </cell>
        </row>
        <row r="10">
          <cell r="A10">
            <v>7</v>
          </cell>
          <cell r="G10"/>
          <cell r="T10">
            <v>7</v>
          </cell>
          <cell r="Z10"/>
        </row>
        <row r="11">
          <cell r="A11">
            <v>8</v>
          </cell>
          <cell r="B11" t="str">
            <v>Volume - (KWH)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238458</v>
          </cell>
          <cell r="E12">
            <v>29111</v>
          </cell>
          <cell r="F12">
            <v>26739</v>
          </cell>
          <cell r="G12">
            <v>20397</v>
          </cell>
          <cell r="H12">
            <v>19723</v>
          </cell>
          <cell r="I12">
            <v>21036</v>
          </cell>
          <cell r="J12">
            <v>26448</v>
          </cell>
          <cell r="K12">
            <v>31674</v>
          </cell>
          <cell r="L12">
            <v>32031</v>
          </cell>
          <cell r="M12">
            <v>31299</v>
          </cell>
          <cell r="N12"/>
          <cell r="O12"/>
          <cell r="P12"/>
          <cell r="T12">
            <v>9</v>
          </cell>
          <cell r="U12" t="str">
            <v>Residential</v>
          </cell>
          <cell r="W12">
            <v>305020</v>
          </cell>
          <cell r="X12">
            <v>22867</v>
          </cell>
          <cell r="Y12">
            <v>22271</v>
          </cell>
          <cell r="Z12">
            <v>19809</v>
          </cell>
          <cell r="AA12">
            <v>20795</v>
          </cell>
          <cell r="AB12">
            <v>21452</v>
          </cell>
          <cell r="AC12">
            <v>26534</v>
          </cell>
          <cell r="AD12">
            <v>35084</v>
          </cell>
          <cell r="AE12">
            <v>35327</v>
          </cell>
          <cell r="AF12">
            <v>31144</v>
          </cell>
          <cell r="AG12">
            <v>24072</v>
          </cell>
          <cell r="AH12">
            <v>22265</v>
          </cell>
          <cell r="AI12">
            <v>23400</v>
          </cell>
        </row>
        <row r="13">
          <cell r="A13">
            <v>10</v>
          </cell>
          <cell r="B13" t="str">
            <v>Commercial</v>
          </cell>
          <cell r="D13">
            <v>232873</v>
          </cell>
          <cell r="E13">
            <v>23173</v>
          </cell>
          <cell r="F13">
            <v>21543</v>
          </cell>
          <cell r="G13">
            <v>20059</v>
          </cell>
          <cell r="H13">
            <v>22393</v>
          </cell>
          <cell r="I13">
            <v>23611</v>
          </cell>
          <cell r="J13">
            <v>26405</v>
          </cell>
          <cell r="K13">
            <v>31594</v>
          </cell>
          <cell r="L13">
            <v>31320</v>
          </cell>
          <cell r="M13">
            <v>32775</v>
          </cell>
          <cell r="N13"/>
          <cell r="O13"/>
          <cell r="P13"/>
          <cell r="T13">
            <v>10</v>
          </cell>
          <cell r="U13" t="str">
            <v>Commercial</v>
          </cell>
          <cell r="W13">
            <v>293262</v>
          </cell>
          <cell r="X13">
            <v>22653</v>
          </cell>
          <cell r="Y13">
            <v>21381</v>
          </cell>
          <cell r="Z13">
            <v>20645</v>
          </cell>
          <cell r="AA13">
            <v>21357</v>
          </cell>
          <cell r="AB13">
            <v>21461</v>
          </cell>
          <cell r="AC13">
            <v>24491</v>
          </cell>
          <cell r="AD13">
            <v>30270</v>
          </cell>
          <cell r="AE13">
            <v>29923</v>
          </cell>
          <cell r="AF13">
            <v>28057</v>
          </cell>
          <cell r="AG13">
            <v>25495</v>
          </cell>
          <cell r="AH13">
            <v>24876</v>
          </cell>
          <cell r="AI13">
            <v>22653</v>
          </cell>
        </row>
        <row r="14">
          <cell r="A14">
            <v>11</v>
          </cell>
          <cell r="B14" t="str">
            <v xml:space="preserve">Industrial </v>
          </cell>
          <cell r="D14">
            <v>8691</v>
          </cell>
          <cell r="E14">
            <v>560</v>
          </cell>
          <cell r="F14">
            <v>3620</v>
          </cell>
          <cell r="G14">
            <v>920</v>
          </cell>
          <cell r="H14">
            <v>460</v>
          </cell>
          <cell r="I14">
            <v>650</v>
          </cell>
          <cell r="J14">
            <v>630</v>
          </cell>
          <cell r="K14">
            <v>616</v>
          </cell>
          <cell r="L14">
            <v>620</v>
          </cell>
          <cell r="M14">
            <v>615</v>
          </cell>
          <cell r="N14"/>
          <cell r="O14"/>
          <cell r="P14"/>
          <cell r="T14">
            <v>11</v>
          </cell>
          <cell r="U14" t="str">
            <v xml:space="preserve">Industrial </v>
          </cell>
          <cell r="W14">
            <v>14806</v>
          </cell>
          <cell r="X14">
            <v>4880</v>
          </cell>
          <cell r="Y14">
            <v>6650</v>
          </cell>
          <cell r="Z14">
            <v>82</v>
          </cell>
          <cell r="AA14">
            <v>272</v>
          </cell>
          <cell r="AB14">
            <v>124</v>
          </cell>
          <cell r="AC14">
            <v>374</v>
          </cell>
          <cell r="AD14">
            <v>710</v>
          </cell>
          <cell r="AE14">
            <v>368</v>
          </cell>
          <cell r="AF14">
            <v>518</v>
          </cell>
          <cell r="AG14">
            <v>0</v>
          </cell>
          <cell r="AH14">
            <v>268</v>
          </cell>
          <cell r="AI14">
            <v>560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/>
          <cell r="O15"/>
          <cell r="P15"/>
          <cell r="T15">
            <v>12</v>
          </cell>
          <cell r="U15" t="str">
            <v>Other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Deliveries</v>
          </cell>
          <cell r="C16"/>
          <cell r="D16">
            <v>480022</v>
          </cell>
          <cell r="E16">
            <v>52844</v>
          </cell>
          <cell r="F16">
            <v>51902</v>
          </cell>
          <cell r="G16">
            <v>41376</v>
          </cell>
          <cell r="H16">
            <v>42576</v>
          </cell>
          <cell r="I16">
            <v>45297</v>
          </cell>
          <cell r="J16">
            <v>53483</v>
          </cell>
          <cell r="K16">
            <v>63884</v>
          </cell>
          <cell r="L16">
            <v>63971</v>
          </cell>
          <cell r="M16">
            <v>64689</v>
          </cell>
          <cell r="N16">
            <v>0</v>
          </cell>
          <cell r="O16">
            <v>0</v>
          </cell>
          <cell r="P16">
            <v>0</v>
          </cell>
          <cell r="T16">
            <v>13</v>
          </cell>
          <cell r="U16" t="str">
            <v>Total Deliveries</v>
          </cell>
          <cell r="V16"/>
          <cell r="W16">
            <v>613088</v>
          </cell>
          <cell r="X16">
            <v>50400</v>
          </cell>
          <cell r="Y16">
            <v>50302</v>
          </cell>
          <cell r="Z16">
            <v>40536</v>
          </cell>
          <cell r="AA16">
            <v>42424</v>
          </cell>
          <cell r="AB16">
            <v>43037</v>
          </cell>
          <cell r="AC16">
            <v>51399</v>
          </cell>
          <cell r="AD16">
            <v>66064</v>
          </cell>
          <cell r="AE16">
            <v>65618</v>
          </cell>
          <cell r="AF16">
            <v>59719</v>
          </cell>
          <cell r="AG16">
            <v>49567</v>
          </cell>
          <cell r="AH16">
            <v>47409</v>
          </cell>
          <cell r="AI16">
            <v>46613</v>
          </cell>
        </row>
        <row r="17">
          <cell r="A17">
            <v>14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T17">
            <v>14</v>
          </cell>
          <cell r="W17"/>
        </row>
        <row r="18">
          <cell r="A18">
            <v>15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</row>
        <row r="19">
          <cell r="A19">
            <v>16</v>
          </cell>
          <cell r="B19" t="str">
            <v>BUDGET</v>
          </cell>
          <cell r="C19"/>
          <cell r="D19" t="str">
            <v>Total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 xml:space="preserve">Customers </v>
          </cell>
          <cell r="C20"/>
          <cell r="D20"/>
          <cell r="E20">
            <v>32129</v>
          </cell>
          <cell r="F20">
            <v>32170</v>
          </cell>
          <cell r="G20">
            <v>32212</v>
          </cell>
          <cell r="H20">
            <v>32250</v>
          </cell>
          <cell r="I20">
            <v>32209</v>
          </cell>
          <cell r="J20">
            <v>32317</v>
          </cell>
          <cell r="K20">
            <v>32327</v>
          </cell>
          <cell r="L20">
            <v>32370</v>
          </cell>
          <cell r="M20">
            <v>32381</v>
          </cell>
          <cell r="N20"/>
          <cell r="O20"/>
          <cell r="P20"/>
          <cell r="T20">
            <v>17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</row>
        <row r="21">
          <cell r="A21">
            <v>18</v>
          </cell>
          <cell r="B21" t="str">
            <v>Volume (KWH)</v>
          </cell>
          <cell r="C21"/>
          <cell r="D21"/>
          <cell r="E21">
            <v>49464</v>
          </cell>
          <cell r="F21">
            <v>45521</v>
          </cell>
          <cell r="G21">
            <v>39261</v>
          </cell>
          <cell r="H21">
            <v>42746</v>
          </cell>
          <cell r="I21">
            <v>46625</v>
          </cell>
          <cell r="J21">
            <v>57717</v>
          </cell>
          <cell r="K21">
            <v>59906</v>
          </cell>
          <cell r="L21">
            <v>59722</v>
          </cell>
          <cell r="M21">
            <v>60881</v>
          </cell>
          <cell r="N21"/>
          <cell r="O21"/>
          <cell r="P21"/>
          <cell r="T21">
            <v>18</v>
          </cell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</row>
        <row r="22">
          <cell r="A22">
            <v>19</v>
          </cell>
          <cell r="T22">
            <v>19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</row>
        <row r="23">
          <cell r="A23">
            <v>20</v>
          </cell>
          <cell r="B23" t="str">
            <v>YTD/CUMULATIVE SECTION</v>
          </cell>
          <cell r="T23">
            <v>20</v>
          </cell>
          <cell r="U23" t="str">
            <v>YTD/CUMULATIVE SECTION</v>
          </cell>
        </row>
        <row r="24">
          <cell r="A24">
            <v>21</v>
          </cell>
          <cell r="B24"/>
          <cell r="T24">
            <v>21</v>
          </cell>
        </row>
        <row r="25">
          <cell r="A25">
            <v>22</v>
          </cell>
          <cell r="B25" t="str">
            <v xml:space="preserve">Customers </v>
          </cell>
          <cell r="C25"/>
          <cell r="D25"/>
          <cell r="T25">
            <v>22</v>
          </cell>
          <cell r="U25" t="str">
            <v>Customers</v>
          </cell>
        </row>
        <row r="26">
          <cell r="A26">
            <v>23</v>
          </cell>
          <cell r="C26" t="str">
            <v>Average</v>
          </cell>
          <cell r="D26" t="str">
            <v>Total</v>
          </cell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U26"/>
          <cell r="V26"/>
          <cell r="W26" t="str">
            <v>Total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A27">
            <v>24</v>
          </cell>
          <cell r="B27" t="str">
            <v>Residential</v>
          </cell>
          <cell r="C27">
            <v>27611</v>
          </cell>
          <cell r="D27">
            <v>303720</v>
          </cell>
          <cell r="E27">
            <v>25232</v>
          </cell>
          <cell r="F27">
            <v>25226</v>
          </cell>
          <cell r="G27">
            <v>25251</v>
          </cell>
          <cell r="H27">
            <v>25295</v>
          </cell>
          <cell r="I27">
            <v>25304</v>
          </cell>
          <cell r="J27">
            <v>25323</v>
          </cell>
          <cell r="K27">
            <v>25337</v>
          </cell>
          <cell r="L27">
            <v>25348</v>
          </cell>
          <cell r="M27">
            <v>25351</v>
          </cell>
          <cell r="N27">
            <v>25351</v>
          </cell>
          <cell r="O27">
            <v>25351</v>
          </cell>
          <cell r="P27">
            <v>25351</v>
          </cell>
          <cell r="T27">
            <v>24</v>
          </cell>
          <cell r="U27" t="str">
            <v>Residential</v>
          </cell>
          <cell r="V27"/>
          <cell r="W27">
            <v>299303</v>
          </cell>
          <cell r="X27">
            <v>24863</v>
          </cell>
          <cell r="Y27">
            <v>24856</v>
          </cell>
          <cell r="Z27">
            <v>24893</v>
          </cell>
          <cell r="AA27">
            <v>24894</v>
          </cell>
          <cell r="AB27">
            <v>24897</v>
          </cell>
          <cell r="AC27">
            <v>24923</v>
          </cell>
          <cell r="AD27">
            <v>24950</v>
          </cell>
          <cell r="AE27">
            <v>24968</v>
          </cell>
          <cell r="AF27">
            <v>24983</v>
          </cell>
          <cell r="AG27">
            <v>25005</v>
          </cell>
          <cell r="AH27">
            <v>25027</v>
          </cell>
          <cell r="AI27">
            <v>25044</v>
          </cell>
        </row>
        <row r="28">
          <cell r="A28">
            <v>25</v>
          </cell>
          <cell r="B28" t="str">
            <v>Commercial</v>
          </cell>
          <cell r="C28">
            <v>7995</v>
          </cell>
          <cell r="D28">
            <v>87944</v>
          </cell>
          <cell r="E28">
            <v>7312</v>
          </cell>
          <cell r="F28">
            <v>7318</v>
          </cell>
          <cell r="G28">
            <v>7318</v>
          </cell>
          <cell r="H28">
            <v>7325</v>
          </cell>
          <cell r="I28">
            <v>7326</v>
          </cell>
          <cell r="J28">
            <v>7331</v>
          </cell>
          <cell r="K28">
            <v>7333</v>
          </cell>
          <cell r="L28">
            <v>7337</v>
          </cell>
          <cell r="M28">
            <v>7336</v>
          </cell>
          <cell r="N28">
            <v>7336</v>
          </cell>
          <cell r="O28">
            <v>7336</v>
          </cell>
          <cell r="P28">
            <v>7336</v>
          </cell>
          <cell r="T28">
            <v>25</v>
          </cell>
          <cell r="U28" t="str">
            <v>Commercial</v>
          </cell>
          <cell r="V28"/>
          <cell r="W28">
            <v>87219</v>
          </cell>
          <cell r="X28">
            <v>7282</v>
          </cell>
          <cell r="Y28">
            <v>7267</v>
          </cell>
          <cell r="Z28">
            <v>7260</v>
          </cell>
          <cell r="AA28">
            <v>7262</v>
          </cell>
          <cell r="AB28">
            <v>7260</v>
          </cell>
          <cell r="AC28">
            <v>7262</v>
          </cell>
          <cell r="AD28">
            <v>7264</v>
          </cell>
          <cell r="AE28">
            <v>7265</v>
          </cell>
          <cell r="AF28">
            <v>7268</v>
          </cell>
          <cell r="AG28">
            <v>7273</v>
          </cell>
          <cell r="AH28">
            <v>7276</v>
          </cell>
          <cell r="AI28">
            <v>7280</v>
          </cell>
        </row>
        <row r="29">
          <cell r="A29">
            <v>26</v>
          </cell>
          <cell r="B29" t="str">
            <v xml:space="preserve">Industrial </v>
          </cell>
          <cell r="C29">
            <v>2</v>
          </cell>
          <cell r="D29">
            <v>24</v>
          </cell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V29"/>
          <cell r="W29">
            <v>24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A30">
            <v>27</v>
          </cell>
          <cell r="B30" t="str">
            <v>Other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V30"/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28</v>
          </cell>
          <cell r="B31" t="str">
            <v>Total customers</v>
          </cell>
          <cell r="C31">
            <v>35608</v>
          </cell>
          <cell r="D31">
            <v>391688</v>
          </cell>
          <cell r="E31">
            <v>32546</v>
          </cell>
          <cell r="F31">
            <v>32546</v>
          </cell>
          <cell r="G31">
            <v>32571</v>
          </cell>
          <cell r="H31">
            <v>32622</v>
          </cell>
          <cell r="I31">
            <v>32632</v>
          </cell>
          <cell r="J31">
            <v>32656</v>
          </cell>
          <cell r="K31">
            <v>32672</v>
          </cell>
          <cell r="L31">
            <v>32687</v>
          </cell>
          <cell r="M31">
            <v>32689</v>
          </cell>
          <cell r="N31">
            <v>32689</v>
          </cell>
          <cell r="O31">
            <v>32689</v>
          </cell>
          <cell r="P31">
            <v>32689</v>
          </cell>
          <cell r="T31">
            <v>28</v>
          </cell>
          <cell r="U31" t="str">
            <v>Total customers</v>
          </cell>
          <cell r="V31"/>
          <cell r="W31">
            <v>386546</v>
          </cell>
          <cell r="X31">
            <v>32147</v>
          </cell>
          <cell r="Y31">
            <v>32125</v>
          </cell>
          <cell r="Z31">
            <v>32155</v>
          </cell>
          <cell r="AA31">
            <v>32158</v>
          </cell>
          <cell r="AB31">
            <v>32159</v>
          </cell>
          <cell r="AC31">
            <v>32187</v>
          </cell>
          <cell r="AD31">
            <v>32216</v>
          </cell>
          <cell r="AE31">
            <v>32235</v>
          </cell>
          <cell r="AF31">
            <v>32253</v>
          </cell>
          <cell r="AG31">
            <v>32280</v>
          </cell>
          <cell r="AH31">
            <v>32305</v>
          </cell>
          <cell r="AI31">
            <v>32326</v>
          </cell>
        </row>
        <row r="32">
          <cell r="A32">
            <v>29</v>
          </cell>
          <cell r="G32"/>
          <cell r="T32">
            <v>29</v>
          </cell>
          <cell r="Z32"/>
        </row>
        <row r="33">
          <cell r="A33">
            <v>30</v>
          </cell>
          <cell r="G33"/>
          <cell r="T33">
            <v>30</v>
          </cell>
          <cell r="Z33"/>
        </row>
        <row r="34">
          <cell r="A34">
            <v>31</v>
          </cell>
          <cell r="B34" t="str">
            <v>Volume (KWH)</v>
          </cell>
          <cell r="D34"/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W34" t="str">
            <v>Total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A35">
            <v>32</v>
          </cell>
          <cell r="B35" t="str">
            <v>Residential</v>
          </cell>
          <cell r="D35"/>
          <cell r="E35">
            <v>29111</v>
          </cell>
          <cell r="F35">
            <v>55850</v>
          </cell>
          <cell r="G35">
            <v>76247</v>
          </cell>
          <cell r="H35">
            <v>95970</v>
          </cell>
          <cell r="I35">
            <v>117006</v>
          </cell>
          <cell r="J35">
            <v>143454</v>
          </cell>
          <cell r="K35">
            <v>175128</v>
          </cell>
          <cell r="L35">
            <v>207159</v>
          </cell>
          <cell r="M35">
            <v>238458</v>
          </cell>
          <cell r="N35">
            <v>238458</v>
          </cell>
          <cell r="O35">
            <v>238458</v>
          </cell>
          <cell r="P35">
            <v>238458</v>
          </cell>
          <cell r="T35">
            <v>32</v>
          </cell>
          <cell r="U35" t="str">
            <v>Residential</v>
          </cell>
          <cell r="W35">
            <v>1913845</v>
          </cell>
          <cell r="X35">
            <v>22867</v>
          </cell>
          <cell r="Y35">
            <v>45138</v>
          </cell>
          <cell r="Z35">
            <v>64947</v>
          </cell>
          <cell r="AA35">
            <v>85742</v>
          </cell>
          <cell r="AB35">
            <v>107194</v>
          </cell>
          <cell r="AC35">
            <v>133728</v>
          </cell>
          <cell r="AD35">
            <v>168812</v>
          </cell>
          <cell r="AE35">
            <v>204139</v>
          </cell>
          <cell r="AF35">
            <v>235283</v>
          </cell>
          <cell r="AG35">
            <v>259355</v>
          </cell>
          <cell r="AH35">
            <v>281620</v>
          </cell>
          <cell r="AI35">
            <v>305020</v>
          </cell>
        </row>
        <row r="36">
          <cell r="A36">
            <v>33</v>
          </cell>
          <cell r="B36" t="str">
            <v>Commercial</v>
          </cell>
          <cell r="D36"/>
          <cell r="E36">
            <v>23173</v>
          </cell>
          <cell r="F36">
            <v>44716</v>
          </cell>
          <cell r="G36">
            <v>64775</v>
          </cell>
          <cell r="H36">
            <v>87168</v>
          </cell>
          <cell r="I36">
            <v>110779</v>
          </cell>
          <cell r="J36">
            <v>137184</v>
          </cell>
          <cell r="K36">
            <v>168778</v>
          </cell>
          <cell r="L36">
            <v>200098</v>
          </cell>
          <cell r="M36">
            <v>232873</v>
          </cell>
          <cell r="N36">
            <v>232873</v>
          </cell>
          <cell r="O36">
            <v>232873</v>
          </cell>
          <cell r="P36">
            <v>232873</v>
          </cell>
          <cell r="T36">
            <v>33</v>
          </cell>
          <cell r="U36" t="str">
            <v>Commercial</v>
          </cell>
          <cell r="W36">
            <v>1841168</v>
          </cell>
          <cell r="X36">
            <v>22653</v>
          </cell>
          <cell r="Y36">
            <v>44034</v>
          </cell>
          <cell r="Z36">
            <v>64679</v>
          </cell>
          <cell r="AA36">
            <v>86036</v>
          </cell>
          <cell r="AB36">
            <v>107497</v>
          </cell>
          <cell r="AC36">
            <v>131988</v>
          </cell>
          <cell r="AD36">
            <v>162258</v>
          </cell>
          <cell r="AE36">
            <v>192181</v>
          </cell>
          <cell r="AF36">
            <v>220238</v>
          </cell>
          <cell r="AG36">
            <v>245733</v>
          </cell>
          <cell r="AH36">
            <v>270609</v>
          </cell>
          <cell r="AI36">
            <v>293262</v>
          </cell>
        </row>
        <row r="37">
          <cell r="A37">
            <v>34</v>
          </cell>
          <cell r="B37" t="str">
            <v xml:space="preserve">Industrial </v>
          </cell>
          <cell r="D37"/>
          <cell r="E37">
            <v>560</v>
          </cell>
          <cell r="F37">
            <v>4180</v>
          </cell>
          <cell r="G37">
            <v>5100</v>
          </cell>
          <cell r="H37">
            <v>5560</v>
          </cell>
          <cell r="I37">
            <v>6210</v>
          </cell>
          <cell r="J37">
            <v>6840</v>
          </cell>
          <cell r="K37">
            <v>7456</v>
          </cell>
          <cell r="L37">
            <v>8076</v>
          </cell>
          <cell r="M37">
            <v>8691</v>
          </cell>
          <cell r="N37">
            <v>8691</v>
          </cell>
          <cell r="O37">
            <v>8691</v>
          </cell>
          <cell r="P37">
            <v>8691</v>
          </cell>
          <cell r="T37">
            <v>34</v>
          </cell>
          <cell r="U37" t="str">
            <v xml:space="preserve">Industrial </v>
          </cell>
          <cell r="W37">
            <v>147856</v>
          </cell>
          <cell r="X37">
            <v>4880</v>
          </cell>
          <cell r="Y37">
            <v>11530</v>
          </cell>
          <cell r="Z37">
            <v>11612</v>
          </cell>
          <cell r="AA37">
            <v>11884</v>
          </cell>
          <cell r="AB37">
            <v>12008</v>
          </cell>
          <cell r="AC37">
            <v>12382</v>
          </cell>
          <cell r="AD37">
            <v>13092</v>
          </cell>
          <cell r="AE37">
            <v>13460</v>
          </cell>
          <cell r="AF37">
            <v>13978</v>
          </cell>
          <cell r="AG37">
            <v>13978</v>
          </cell>
          <cell r="AH37">
            <v>14246</v>
          </cell>
          <cell r="AI37">
            <v>14806</v>
          </cell>
        </row>
        <row r="38">
          <cell r="A38">
            <v>35</v>
          </cell>
          <cell r="B38" t="str">
            <v>Other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35</v>
          </cell>
          <cell r="U38" t="str">
            <v>Other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36</v>
          </cell>
          <cell r="B39" t="str">
            <v>Total Deliveries</v>
          </cell>
          <cell r="C39"/>
          <cell r="D39"/>
          <cell r="E39">
            <v>52844</v>
          </cell>
          <cell r="F39">
            <v>104746</v>
          </cell>
          <cell r="G39">
            <v>146122</v>
          </cell>
          <cell r="H39">
            <v>188698</v>
          </cell>
          <cell r="I39">
            <v>233995</v>
          </cell>
          <cell r="J39">
            <v>287478</v>
          </cell>
          <cell r="K39">
            <v>351362</v>
          </cell>
          <cell r="L39">
            <v>415333</v>
          </cell>
          <cell r="M39">
            <v>480022</v>
          </cell>
          <cell r="N39">
            <v>480022</v>
          </cell>
          <cell r="O39">
            <v>480022</v>
          </cell>
          <cell r="P39">
            <v>480022</v>
          </cell>
          <cell r="T39">
            <v>36</v>
          </cell>
          <cell r="U39" t="str">
            <v>Total Deliveries</v>
          </cell>
          <cell r="V39"/>
          <cell r="W39">
            <v>3902869</v>
          </cell>
          <cell r="X39">
            <v>50400</v>
          </cell>
          <cell r="Y39">
            <v>100702</v>
          </cell>
          <cell r="Z39">
            <v>141238</v>
          </cell>
          <cell r="AA39">
            <v>183662</v>
          </cell>
          <cell r="AB39">
            <v>226699</v>
          </cell>
          <cell r="AC39">
            <v>278098</v>
          </cell>
          <cell r="AD39">
            <v>344162</v>
          </cell>
          <cell r="AE39">
            <v>409780</v>
          </cell>
          <cell r="AF39">
            <v>469499</v>
          </cell>
          <cell r="AG39">
            <v>519066</v>
          </cell>
          <cell r="AH39">
            <v>566475</v>
          </cell>
          <cell r="AI39">
            <v>613088</v>
          </cell>
        </row>
        <row r="40">
          <cell r="A40">
            <v>37</v>
          </cell>
          <cell r="T40">
            <v>37</v>
          </cell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</row>
        <row r="41">
          <cell r="A41">
            <v>38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 xml:space="preserve">BUDGET </v>
          </cell>
          <cell r="C43"/>
          <cell r="D43"/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A44">
            <v>41</v>
          </cell>
          <cell r="B44" t="str">
            <v>Customers  - YTD average</v>
          </cell>
          <cell r="C44"/>
          <cell r="D44"/>
          <cell r="E44">
            <v>32129</v>
          </cell>
          <cell r="F44">
            <v>32150</v>
          </cell>
          <cell r="G44">
            <v>32170</v>
          </cell>
          <cell r="H44">
            <v>32190</v>
          </cell>
          <cell r="I44">
            <v>32194</v>
          </cell>
          <cell r="J44">
            <v>32215</v>
          </cell>
          <cell r="K44">
            <v>32231</v>
          </cell>
          <cell r="L44">
            <v>32248</v>
          </cell>
          <cell r="M44">
            <v>32263</v>
          </cell>
          <cell r="N44">
            <v>32263</v>
          </cell>
          <cell r="O44">
            <v>32263</v>
          </cell>
          <cell r="P44">
            <v>32263</v>
          </cell>
          <cell r="T44">
            <v>39</v>
          </cell>
          <cell r="X44">
            <v>0</v>
          </cell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</row>
        <row r="45">
          <cell r="A45">
            <v>42</v>
          </cell>
          <cell r="B45" t="str">
            <v>Volume (KWH)- cumulative total</v>
          </cell>
          <cell r="C45"/>
          <cell r="D45"/>
          <cell r="E45">
            <v>49464</v>
          </cell>
          <cell r="F45">
            <v>94985</v>
          </cell>
          <cell r="G45">
            <v>134246</v>
          </cell>
          <cell r="H45">
            <v>176992</v>
          </cell>
          <cell r="I45">
            <v>223617</v>
          </cell>
          <cell r="J45">
            <v>281334</v>
          </cell>
          <cell r="K45">
            <v>341240</v>
          </cell>
          <cell r="L45">
            <v>400962</v>
          </cell>
          <cell r="M45">
            <v>461843</v>
          </cell>
          <cell r="N45">
            <v>461843</v>
          </cell>
          <cell r="O45">
            <v>461843</v>
          </cell>
          <cell r="P45">
            <v>461843</v>
          </cell>
          <cell r="T45">
            <v>40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</sheetData>
      <sheetData sheetId="17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T4"/>
          <cell r="U4"/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14</v>
          </cell>
          <cell r="D7">
            <v>151</v>
          </cell>
          <cell r="E7">
            <v>16</v>
          </cell>
          <cell r="F7">
            <v>15</v>
          </cell>
          <cell r="G7">
            <v>15</v>
          </cell>
          <cell r="H7">
            <v>16</v>
          </cell>
          <cell r="I7">
            <v>14</v>
          </cell>
          <cell r="J7">
            <v>15</v>
          </cell>
          <cell r="K7">
            <v>14</v>
          </cell>
          <cell r="L7">
            <v>16</v>
          </cell>
          <cell r="M7">
            <v>15</v>
          </cell>
          <cell r="N7">
            <v>15</v>
          </cell>
          <cell r="O7"/>
          <cell r="P7"/>
          <cell r="T7">
            <v>4</v>
          </cell>
          <cell r="U7" t="str">
            <v>Interruptible transporation</v>
          </cell>
          <cell r="V7">
            <v>17</v>
          </cell>
          <cell r="W7">
            <v>183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15</v>
          </cell>
          <cell r="AC7">
            <v>16</v>
          </cell>
          <cell r="AD7">
            <v>15</v>
          </cell>
          <cell r="AE7">
            <v>15</v>
          </cell>
          <cell r="AF7">
            <v>15</v>
          </cell>
          <cell r="AG7">
            <v>16</v>
          </cell>
          <cell r="AH7">
            <v>15</v>
          </cell>
          <cell r="AI7">
            <v>16</v>
          </cell>
        </row>
        <row r="8">
          <cell r="A8">
            <v>5</v>
          </cell>
          <cell r="B8" t="str">
            <v>Less: ESNG to DE, MD &amp; SP</v>
          </cell>
          <cell r="C8">
            <v>-4</v>
          </cell>
          <cell r="D8">
            <v>-40</v>
          </cell>
          <cell r="E8">
            <v>-4</v>
          </cell>
          <cell r="F8">
            <v>-4</v>
          </cell>
          <cell r="G8">
            <v>-4</v>
          </cell>
          <cell r="H8">
            <v>-4</v>
          </cell>
          <cell r="I8">
            <v>-4</v>
          </cell>
          <cell r="J8">
            <v>-4</v>
          </cell>
          <cell r="K8">
            <v>-4</v>
          </cell>
          <cell r="L8">
            <v>-4</v>
          </cell>
          <cell r="M8">
            <v>-4</v>
          </cell>
          <cell r="N8">
            <v>-4</v>
          </cell>
          <cell r="O8"/>
          <cell r="P8"/>
          <cell r="T8">
            <v>5</v>
          </cell>
          <cell r="U8" t="str">
            <v>Less: ESNG to DE, MD &amp; SP</v>
          </cell>
          <cell r="V8">
            <v>-4</v>
          </cell>
          <cell r="W8">
            <v>-41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-4</v>
          </cell>
          <cell r="AF8">
            <v>-4</v>
          </cell>
          <cell r="AG8">
            <v>-4</v>
          </cell>
          <cell r="AH8">
            <v>-4</v>
          </cell>
          <cell r="AI8">
            <v>-4</v>
          </cell>
        </row>
        <row r="9">
          <cell r="A9">
            <v>6</v>
          </cell>
          <cell r="B9" t="str">
            <v>Total customers</v>
          </cell>
          <cell r="C9">
            <v>10</v>
          </cell>
          <cell r="D9">
            <v>111</v>
          </cell>
          <cell r="E9">
            <v>12</v>
          </cell>
          <cell r="F9">
            <v>11</v>
          </cell>
          <cell r="G9">
            <v>11</v>
          </cell>
          <cell r="H9">
            <v>12</v>
          </cell>
          <cell r="I9">
            <v>10</v>
          </cell>
          <cell r="J9">
            <v>11</v>
          </cell>
          <cell r="K9">
            <v>10</v>
          </cell>
          <cell r="L9">
            <v>12</v>
          </cell>
          <cell r="M9">
            <v>11</v>
          </cell>
          <cell r="N9">
            <v>11</v>
          </cell>
          <cell r="O9">
            <v>0</v>
          </cell>
          <cell r="P9">
            <v>0</v>
          </cell>
          <cell r="T9">
            <v>6</v>
          </cell>
          <cell r="U9" t="str">
            <v>Total customers</v>
          </cell>
          <cell r="V9">
            <v>13</v>
          </cell>
          <cell r="W9">
            <v>142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12</v>
          </cell>
          <cell r="AE9">
            <v>11</v>
          </cell>
          <cell r="AF9">
            <v>11</v>
          </cell>
          <cell r="AG9">
            <v>12</v>
          </cell>
          <cell r="AH9">
            <v>11</v>
          </cell>
          <cell r="AI9">
            <v>12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(2021)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- 2020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T12">
            <v>9</v>
          </cell>
          <cell r="U12" t="str">
            <v>Commercial</v>
          </cell>
          <cell r="W12">
            <v>0</v>
          </cell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A13">
            <v>10</v>
          </cell>
          <cell r="B13" t="str">
            <v>Industrial firm</v>
          </cell>
          <cell r="D13">
            <v>0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T13">
            <v>10</v>
          </cell>
          <cell r="U13" t="str">
            <v>Industrial firm</v>
          </cell>
          <cell r="W13">
            <v>0</v>
          </cell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A14">
            <v>11</v>
          </cell>
          <cell r="B14" t="str">
            <v>Transportation firm</v>
          </cell>
          <cell r="D14" t="e">
            <v>#DIV/0!</v>
          </cell>
          <cell r="E14">
            <v>5411569.1784296064</v>
          </cell>
          <cell r="F14">
            <v>5422693.7207023231</v>
          </cell>
          <cell r="G14">
            <v>3987990.0488976575</v>
          </cell>
          <cell r="H14">
            <v>3724362.5384175815</v>
          </cell>
          <cell r="I14">
            <v>4087158.4464809028</v>
          </cell>
          <cell r="J14">
            <v>3866504.7982425718</v>
          </cell>
          <cell r="K14">
            <v>3969964.6370127448</v>
          </cell>
          <cell r="L14">
            <v>4343902.1586791957</v>
          </cell>
          <cell r="M14">
            <v>3811363.5329549424</v>
          </cell>
          <cell r="N14">
            <v>5192713.3630149877</v>
          </cell>
          <cell r="O14" t="e">
            <v>#DIV/0!</v>
          </cell>
          <cell r="P14" t="e">
            <v>#DIV/0!</v>
          </cell>
          <cell r="T14">
            <v>11</v>
          </cell>
          <cell r="U14" t="str">
            <v>Transportation firm</v>
          </cell>
          <cell r="W14">
            <v>56925329.472958371</v>
          </cell>
          <cell r="X14">
            <v>6111377.1692528548</v>
          </cell>
          <cell r="Y14">
            <v>5464969.4106676867</v>
          </cell>
          <cell r="Z14">
            <v>4862587.2238713903</v>
          </cell>
          <cell r="AA14">
            <v>4874562.6753390292</v>
          </cell>
          <cell r="AB14">
            <v>4245826.2208081242</v>
          </cell>
          <cell r="AC14">
            <v>4041834.3130735727</v>
          </cell>
          <cell r="AD14">
            <v>4553001.3821359174</v>
          </cell>
          <cell r="AE14">
            <v>4565446.4088782603</v>
          </cell>
          <cell r="AF14">
            <v>3867295.948835507</v>
          </cell>
          <cell r="AG14">
            <v>3513161.0119585781</v>
          </cell>
          <cell r="AH14">
            <v>4666835.3337246412</v>
          </cell>
          <cell r="AI14">
            <v>5629375.0577438334</v>
          </cell>
        </row>
        <row r="15">
          <cell r="A15">
            <v>12</v>
          </cell>
          <cell r="B15" t="str">
            <v>Interruptible transportation</v>
          </cell>
          <cell r="D15" t="e">
            <v>#DIV/0!</v>
          </cell>
          <cell r="E15">
            <v>24207.966334109278</v>
          </cell>
          <cell r="F15">
            <v>14573.647901670842</v>
          </cell>
          <cell r="G15">
            <v>15589.80330090518</v>
          </cell>
          <cell r="H15">
            <v>10921.018085221393</v>
          </cell>
          <cell r="I15">
            <v>8788.697819519055</v>
          </cell>
          <cell r="J15">
            <v>18758.430647088298</v>
          </cell>
          <cell r="K15">
            <v>15384.154832329998</v>
          </cell>
          <cell r="L15">
            <v>29291.738022175021</v>
          </cell>
          <cell r="M15">
            <v>8046.6925015319885</v>
          </cell>
          <cell r="N15">
            <v>35851.450236601049</v>
          </cell>
          <cell r="O15" t="e">
            <v>#DIV/0!</v>
          </cell>
          <cell r="P15" t="e">
            <v>#DIV/0!</v>
          </cell>
          <cell r="T15">
            <v>12</v>
          </cell>
          <cell r="U15" t="str">
            <v>Interruptible transporation</v>
          </cell>
          <cell r="W15">
            <v>597710.22637323232</v>
          </cell>
          <cell r="X15">
            <v>31978.752223761541</v>
          </cell>
          <cell r="Y15">
            <v>18896.895984710634</v>
          </cell>
          <cell r="Z15">
            <v>40147.075831759124</v>
          </cell>
          <cell r="AA15">
            <v>10518.89762415014</v>
          </cell>
          <cell r="AB15">
            <v>11532.652394386831</v>
          </cell>
          <cell r="AC15">
            <v>9453.1823783801519</v>
          </cell>
          <cell r="AD15">
            <v>12642.336302975027</v>
          </cell>
          <cell r="AE15">
            <v>9098.2436181697867</v>
          </cell>
          <cell r="AF15">
            <v>8908.5164993931921</v>
          </cell>
          <cell r="AG15">
            <v>9013.173099144904</v>
          </cell>
          <cell r="AH15">
            <v>29215.062064658276</v>
          </cell>
          <cell r="AI15">
            <v>191297.61941424655</v>
          </cell>
        </row>
        <row r="16">
          <cell r="A16">
            <v>13</v>
          </cell>
          <cell r="B16" t="str">
            <v>Less: ESNG to DE, MD &amp; SP</v>
          </cell>
          <cell r="D16" t="e">
            <v>#DIV/0!</v>
          </cell>
          <cell r="E16">
            <v>-2174001.5081763598</v>
          </cell>
          <cell r="F16">
            <v>-2032779.6042309343</v>
          </cell>
          <cell r="G16">
            <v>-1554940.7068906853</v>
          </cell>
          <cell r="H16">
            <v>-1115233.4398986858</v>
          </cell>
          <cell r="I16">
            <v>-835135.68541325128</v>
          </cell>
          <cell r="J16">
            <v>-721447.56619262346</v>
          </cell>
          <cell r="K16">
            <v>-685729.0743240763</v>
          </cell>
          <cell r="L16">
            <v>-700110.78818014718</v>
          </cell>
          <cell r="M16">
            <v>-776547.45389754407</v>
          </cell>
          <cell r="N16">
            <v>-1516438.5874362674</v>
          </cell>
          <cell r="O16" t="e">
            <v>#DIV/0!</v>
          </cell>
          <cell r="P16" t="e">
            <v>#DIV/0!</v>
          </cell>
          <cell r="T16">
            <v>13</v>
          </cell>
          <cell r="U16" t="str">
            <v>Less: ESNG to DE, MD and SP</v>
          </cell>
          <cell r="W16">
            <v>-12980530.216464523</v>
          </cell>
          <cell r="X16">
            <v>-1719371.9055465725</v>
          </cell>
          <cell r="Y16">
            <v>-1512050.2992466097</v>
          </cell>
          <cell r="Z16">
            <v>-1225973.4376807124</v>
          </cell>
          <cell r="AA16">
            <v>-984007.92527596944</v>
          </cell>
          <cell r="AB16">
            <v>-773975.43492027372</v>
          </cell>
          <cell r="AC16">
            <v>-623987.24520078476</v>
          </cell>
          <cell r="AD16">
            <v>-585261.53706281132</v>
          </cell>
          <cell r="AE16">
            <v>-662319.24435725086</v>
          </cell>
          <cell r="AF16">
            <v>-750509.52591936209</v>
          </cell>
          <cell r="AG16">
            <v>-923170.94279086357</v>
          </cell>
          <cell r="AH16">
            <v>-1172181.1156506645</v>
          </cell>
          <cell r="AI16">
            <v>-1916799.7982815437</v>
          </cell>
        </row>
        <row r="17">
          <cell r="A17">
            <v>14</v>
          </cell>
          <cell r="B17" t="str">
            <v>Total Deliveries</v>
          </cell>
          <cell r="C17"/>
          <cell r="D17" t="e">
            <v>#DIV/0!</v>
          </cell>
          <cell r="E17">
            <v>3261775.6365873558</v>
          </cell>
          <cell r="F17">
            <v>3404487.7643730599</v>
          </cell>
          <cell r="G17">
            <v>2448639.1453078771</v>
          </cell>
          <cell r="H17">
            <v>2620050.1166041167</v>
          </cell>
          <cell r="I17">
            <v>3260811.4588871705</v>
          </cell>
          <cell r="J17">
            <v>3163815.6626970368</v>
          </cell>
          <cell r="K17">
            <v>3299619.7175209988</v>
          </cell>
          <cell r="L17">
            <v>3673083.1085212231</v>
          </cell>
          <cell r="M17">
            <v>3042862.7715589302</v>
          </cell>
          <cell r="N17">
            <v>3712126.2258153213</v>
          </cell>
          <cell r="O17" t="e">
            <v>#DIV/0!</v>
          </cell>
          <cell r="P17" t="e">
            <v>#DIV/0!</v>
          </cell>
          <cell r="T17">
            <v>14</v>
          </cell>
          <cell r="U17" t="str">
            <v>Total Deliveries</v>
          </cell>
          <cell r="V17"/>
          <cell r="W17">
            <v>44542509.482867077</v>
          </cell>
          <cell r="X17">
            <v>4423984.0159300435</v>
          </cell>
          <cell r="Y17">
            <v>3971816.0074057872</v>
          </cell>
          <cell r="Z17">
            <v>3676760.8620224367</v>
          </cell>
          <cell r="AA17">
            <v>3901073.6476872098</v>
          </cell>
          <cell r="AB17">
            <v>3483383.4382822374</v>
          </cell>
          <cell r="AC17">
            <v>3427300.2502511679</v>
          </cell>
          <cell r="AD17">
            <v>3980382.1813760814</v>
          </cell>
          <cell r="AE17">
            <v>3912225.4081391795</v>
          </cell>
          <cell r="AF17">
            <v>3125694.9394155382</v>
          </cell>
          <cell r="AG17">
            <v>2599003.2422668594</v>
          </cell>
          <cell r="AH17">
            <v>3523869.2801386346</v>
          </cell>
          <cell r="AI17">
            <v>3903872.8788765362</v>
          </cell>
        </row>
        <row r="18">
          <cell r="A18">
            <v>15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T18">
            <v>15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W19"/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D20"/>
          <cell r="E20">
            <v>1.0370140000000001</v>
          </cell>
          <cell r="F20">
            <v>1.0357050000000001</v>
          </cell>
          <cell r="G20">
            <v>1.0374730000000001</v>
          </cell>
          <cell r="H20">
            <v>1.035984</v>
          </cell>
          <cell r="I20">
            <v>1.0363309999999999</v>
          </cell>
          <cell r="J20">
            <v>1.0378799999999999</v>
          </cell>
          <cell r="K20">
            <v>1.0355460000000001</v>
          </cell>
          <cell r="L20">
            <v>1.035309</v>
          </cell>
          <cell r="M20">
            <v>1.0329710000000001</v>
          </cell>
          <cell r="N20">
            <v>1.0365549999999999</v>
          </cell>
          <cell r="O20"/>
          <cell r="P20"/>
          <cell r="T20">
            <v>17</v>
          </cell>
          <cell r="U20" t="str">
            <v>BTU factor used</v>
          </cell>
          <cell r="W20"/>
          <cell r="X20">
            <v>1.036532</v>
          </cell>
          <cell r="Y20">
            <v>1.0381069999999999</v>
          </cell>
          <cell r="Z20">
            <v>1.03756</v>
          </cell>
          <cell r="AA20">
            <v>1.038702</v>
          </cell>
          <cell r="AB20">
            <v>1.0374890000000001</v>
          </cell>
          <cell r="AC20">
            <v>1.0361590000000001</v>
          </cell>
          <cell r="AD20">
            <v>1.0339069999999999</v>
          </cell>
          <cell r="AE20">
            <v>1.0337160000000001</v>
          </cell>
          <cell r="AF20">
            <v>1.0382199999999999</v>
          </cell>
          <cell r="AG20">
            <v>1.0341530000000001</v>
          </cell>
          <cell r="AH20">
            <v>1.037547</v>
          </cell>
          <cell r="AI20">
            <v>1.039072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45400536</v>
          </cell>
          <cell r="E22">
            <v>5611873</v>
          </cell>
          <cell r="F22">
            <v>5616311</v>
          </cell>
          <cell r="G22">
            <v>4137432</v>
          </cell>
          <cell r="H22">
            <v>3858380</v>
          </cell>
          <cell r="I22">
            <v>4235649</v>
          </cell>
          <cell r="J22">
            <v>4012968</v>
          </cell>
          <cell r="K22">
            <v>4111081</v>
          </cell>
          <cell r="L22">
            <v>4497281</v>
          </cell>
          <cell r="M22">
            <v>3937028</v>
          </cell>
          <cell r="N22">
            <v>5382533</v>
          </cell>
          <cell r="O22"/>
          <cell r="P22"/>
          <cell r="T22">
            <v>19</v>
          </cell>
          <cell r="U22" t="str">
            <v>Transportation firm</v>
          </cell>
          <cell r="W22"/>
          <cell r="X22">
            <v>6334638</v>
          </cell>
          <cell r="Y22">
            <v>5673223</v>
          </cell>
          <cell r="Z22">
            <v>5045226</v>
          </cell>
          <cell r="AA22">
            <v>5063218</v>
          </cell>
          <cell r="AB22">
            <v>4404998</v>
          </cell>
          <cell r="AC22">
            <v>4187983</v>
          </cell>
          <cell r="AD22">
            <v>4707380</v>
          </cell>
          <cell r="AE22">
            <v>4719375</v>
          </cell>
          <cell r="AF22">
            <v>4015104</v>
          </cell>
          <cell r="AG22">
            <v>3633146</v>
          </cell>
          <cell r="AH22">
            <v>4842061</v>
          </cell>
          <cell r="AI22">
            <v>5849326</v>
          </cell>
        </row>
        <row r="23">
          <cell r="A23">
            <v>20</v>
          </cell>
          <cell r="B23" t="str">
            <v>Interruptible transportation</v>
          </cell>
          <cell r="D23">
            <v>187994</v>
          </cell>
          <cell r="E23">
            <v>25104</v>
          </cell>
          <cell r="F23">
            <v>15094</v>
          </cell>
          <cell r="G23">
            <v>16174</v>
          </cell>
          <cell r="H23">
            <v>11314</v>
          </cell>
          <cell r="I23">
            <v>9108</v>
          </cell>
          <cell r="J23">
            <v>19469</v>
          </cell>
          <cell r="K23">
            <v>15931</v>
          </cell>
          <cell r="L23">
            <v>30326</v>
          </cell>
          <cell r="M23">
            <v>8312</v>
          </cell>
          <cell r="N23">
            <v>37162</v>
          </cell>
          <cell r="O23"/>
          <cell r="P23"/>
          <cell r="T23">
            <v>20</v>
          </cell>
          <cell r="U23" t="str">
            <v>Interruptible transportation</v>
          </cell>
          <cell r="W23"/>
          <cell r="X23">
            <v>33147</v>
          </cell>
          <cell r="Y23">
            <v>19617</v>
          </cell>
          <cell r="Z23">
            <v>41655</v>
          </cell>
          <cell r="AA23">
            <v>10926</v>
          </cell>
          <cell r="AB23">
            <v>11965</v>
          </cell>
          <cell r="AC23">
            <v>9795</v>
          </cell>
          <cell r="AD23">
            <v>13071</v>
          </cell>
          <cell r="AE23">
            <v>9405</v>
          </cell>
          <cell r="AF23">
            <v>9249</v>
          </cell>
          <cell r="AG23">
            <v>9321</v>
          </cell>
          <cell r="AH23">
            <v>30312</v>
          </cell>
          <cell r="AI23">
            <v>198772</v>
          </cell>
        </row>
        <row r="24">
          <cell r="A24">
            <v>21</v>
          </cell>
          <cell r="B24" t="str">
            <v>Less: ESNG to DE, MD, EK &amp; SP</v>
          </cell>
          <cell r="D24">
            <v>-12551614</v>
          </cell>
          <cell r="E24">
            <v>-2254470</v>
          </cell>
          <cell r="F24">
            <v>-2105360</v>
          </cell>
          <cell r="G24">
            <v>-1613209</v>
          </cell>
          <cell r="H24">
            <v>-1155364</v>
          </cell>
          <cell r="I24">
            <v>-865477</v>
          </cell>
          <cell r="J24">
            <v>-748776</v>
          </cell>
          <cell r="K24">
            <v>-710104</v>
          </cell>
          <cell r="L24">
            <v>-724831</v>
          </cell>
          <cell r="M24">
            <v>-802151</v>
          </cell>
          <cell r="N24">
            <v>-1571872</v>
          </cell>
          <cell r="O24"/>
          <cell r="P24"/>
          <cell r="T24">
            <v>21</v>
          </cell>
          <cell r="U24" t="str">
            <v>Less: ESNG to DE, MD and SP</v>
          </cell>
          <cell r="W24"/>
          <cell r="X24">
            <v>-1782184</v>
          </cell>
          <cell r="Y24">
            <v>-1569670</v>
          </cell>
          <cell r="Z24">
            <v>-1272021</v>
          </cell>
          <cell r="AA24">
            <v>-1022091</v>
          </cell>
          <cell r="AB24">
            <v>-802991</v>
          </cell>
          <cell r="AC24">
            <v>-646550</v>
          </cell>
          <cell r="AD24">
            <v>-605106</v>
          </cell>
          <cell r="AE24">
            <v>-684650</v>
          </cell>
          <cell r="AF24">
            <v>-779194</v>
          </cell>
          <cell r="AG24">
            <v>-954700</v>
          </cell>
          <cell r="AH24">
            <v>-1216193</v>
          </cell>
          <cell r="AI24">
            <v>-1991693</v>
          </cell>
        </row>
        <row r="25">
          <cell r="A25">
            <v>22</v>
          </cell>
          <cell r="B25" t="str">
            <v>Total Deliveries</v>
          </cell>
          <cell r="C25"/>
          <cell r="D25">
            <v>33036916</v>
          </cell>
          <cell r="E25">
            <v>3382507</v>
          </cell>
          <cell r="F25">
            <v>3526045</v>
          </cell>
          <cell r="G25">
            <v>2540397</v>
          </cell>
          <cell r="H25">
            <v>2714330</v>
          </cell>
          <cell r="I25">
            <v>3379280</v>
          </cell>
          <cell r="J25">
            <v>3283661</v>
          </cell>
          <cell r="K25">
            <v>3416908</v>
          </cell>
          <cell r="L25">
            <v>3802776</v>
          </cell>
          <cell r="M25">
            <v>3143189</v>
          </cell>
          <cell r="N25">
            <v>3847823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V25"/>
          <cell r="W25"/>
          <cell r="X25">
            <v>4585601</v>
          </cell>
          <cell r="Y25">
            <v>4123170</v>
          </cell>
          <cell r="Z25">
            <v>3814860</v>
          </cell>
          <cell r="AA25">
            <v>4052053</v>
          </cell>
          <cell r="AB25">
            <v>3613972</v>
          </cell>
          <cell r="AC25">
            <v>3551228</v>
          </cell>
          <cell r="AD25">
            <v>4115345</v>
          </cell>
          <cell r="AE25">
            <v>4044130</v>
          </cell>
          <cell r="AF25">
            <v>3245159</v>
          </cell>
          <cell r="AG25">
            <v>2687767</v>
          </cell>
          <cell r="AH25">
            <v>3656180</v>
          </cell>
          <cell r="AI25">
            <v>4056405</v>
          </cell>
        </row>
        <row r="26">
          <cell r="A26">
            <v>23</v>
          </cell>
          <cell r="T26">
            <v>23</v>
          </cell>
          <cell r="V26"/>
        </row>
        <row r="27">
          <cell r="A27">
            <v>24</v>
          </cell>
          <cell r="B27" t="str">
            <v>BUDGET</v>
          </cell>
          <cell r="C27"/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T28">
            <v>25</v>
          </cell>
        </row>
        <row r="29">
          <cell r="A29">
            <v>26</v>
          </cell>
          <cell r="B29" t="str">
            <v>Volume (Mcfs)</v>
          </cell>
          <cell r="C29"/>
          <cell r="D29">
            <v>44024938.579262495</v>
          </cell>
          <cell r="E29">
            <v>5441097.4903474897</v>
          </cell>
          <cell r="F29">
            <v>5435719.1119691115</v>
          </cell>
          <cell r="G29">
            <v>4009272.2007722007</v>
          </cell>
          <cell r="H29">
            <v>3735225.8687258684</v>
          </cell>
          <cell r="I29">
            <v>4097255.7915057912</v>
          </cell>
          <cell r="J29">
            <v>3896074.3961352659</v>
          </cell>
          <cell r="K29">
            <v>3987451.2077294691</v>
          </cell>
          <cell r="L29">
            <v>4374499.5169082126</v>
          </cell>
          <cell r="M29">
            <v>3811922.7053140099</v>
          </cell>
          <cell r="N29">
            <v>5236420.2898550732</v>
          </cell>
          <cell r="O29">
            <v>0</v>
          </cell>
          <cell r="P29">
            <v>0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-12118347.550034506</v>
          </cell>
          <cell r="E30">
            <v>-2176129.3436293434</v>
          </cell>
          <cell r="F30">
            <v>-2032200.7722007721</v>
          </cell>
          <cell r="G30">
            <v>-1557151.5444015444</v>
          </cell>
          <cell r="H30">
            <v>-1115216.2162162161</v>
          </cell>
          <cell r="I30">
            <v>-835402.50965250959</v>
          </cell>
          <cell r="J30">
            <v>-722756.75675675669</v>
          </cell>
          <cell r="K30">
            <v>-685428.57142857136</v>
          </cell>
          <cell r="L30">
            <v>-700319.80676328507</v>
          </cell>
          <cell r="M30">
            <v>-775025.12077294698</v>
          </cell>
          <cell r="N30">
            <v>-1518716.9082125605</v>
          </cell>
          <cell r="O30">
            <v>0</v>
          </cell>
          <cell r="P30">
            <v>0</v>
          </cell>
          <cell r="T30">
            <v>27</v>
          </cell>
        </row>
        <row r="31">
          <cell r="A31">
            <v>28</v>
          </cell>
          <cell r="D31">
            <v>31906591.029227987</v>
          </cell>
          <cell r="E31">
            <v>3264968.1467181463</v>
          </cell>
          <cell r="F31">
            <v>3403518.3397683394</v>
          </cell>
          <cell r="G31">
            <v>2452120.6563706566</v>
          </cell>
          <cell r="H31">
            <v>2620009.6525096521</v>
          </cell>
          <cell r="I31">
            <v>3261853.2818532819</v>
          </cell>
          <cell r="J31">
            <v>3173317.6393785095</v>
          </cell>
          <cell r="K31">
            <v>3302022.6363008977</v>
          </cell>
          <cell r="L31">
            <v>3674179.7101449277</v>
          </cell>
          <cell r="M31">
            <v>3036897.5845410628</v>
          </cell>
          <cell r="N31">
            <v>3717703.381642513</v>
          </cell>
          <cell r="O31">
            <v>0</v>
          </cell>
          <cell r="P31">
            <v>0</v>
          </cell>
          <cell r="T31">
            <v>28</v>
          </cell>
        </row>
        <row r="32">
          <cell r="A32">
            <v>29</v>
          </cell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T32">
            <v>29</v>
          </cell>
        </row>
        <row r="33">
          <cell r="A33">
            <v>30</v>
          </cell>
          <cell r="B33" t="str">
            <v>Volume (Dts) *1.036</v>
          </cell>
          <cell r="C33">
            <v>1.036</v>
          </cell>
          <cell r="D33"/>
          <cell r="E33">
            <v>5636977</v>
          </cell>
          <cell r="F33">
            <v>5631405</v>
          </cell>
          <cell r="G33">
            <v>4153606</v>
          </cell>
          <cell r="H33">
            <v>3869694</v>
          </cell>
          <cell r="I33">
            <v>4244757</v>
          </cell>
          <cell r="J33">
            <v>4032437</v>
          </cell>
          <cell r="K33">
            <v>4127012</v>
          </cell>
          <cell r="L33">
            <v>4527607</v>
          </cell>
          <cell r="M33">
            <v>3945340</v>
          </cell>
          <cell r="N33">
            <v>5419695</v>
          </cell>
          <cell r="O33"/>
          <cell r="P33"/>
          <cell r="T33">
            <v>30</v>
          </cell>
          <cell r="U33" t="str">
            <v>Volume (Dts) *1.035</v>
          </cell>
          <cell r="V33">
            <v>1.0349999999999999</v>
          </cell>
          <cell r="X33">
            <v>5906048</v>
          </cell>
          <cell r="Y33">
            <v>5689338</v>
          </cell>
          <cell r="Z33">
            <v>6292792</v>
          </cell>
          <cell r="AA33">
            <v>4290375</v>
          </cell>
          <cell r="AB33">
            <v>5141357</v>
          </cell>
          <cell r="AC33">
            <v>6095134.333333334</v>
          </cell>
          <cell r="AD33">
            <v>5268939.666666666</v>
          </cell>
          <cell r="AE33">
            <v>4901548</v>
          </cell>
          <cell r="AF33">
            <v>4728407</v>
          </cell>
          <cell r="AG33">
            <v>5283641</v>
          </cell>
          <cell r="AH33">
            <v>5441560</v>
          </cell>
          <cell r="AI33">
            <v>5631940</v>
          </cell>
        </row>
        <row r="34">
          <cell r="A34">
            <v>31</v>
          </cell>
          <cell r="B34" t="str">
            <v>Less Sales to DE/MD/SP</v>
          </cell>
          <cell r="D34"/>
          <cell r="E34">
            <v>-2254470</v>
          </cell>
          <cell r="F34">
            <v>-2105360</v>
          </cell>
          <cell r="G34">
            <v>-1613209</v>
          </cell>
          <cell r="H34">
            <v>-1155364</v>
          </cell>
          <cell r="I34">
            <v>-865477</v>
          </cell>
          <cell r="J34">
            <v>-748776</v>
          </cell>
          <cell r="K34">
            <v>-710104</v>
          </cell>
          <cell r="L34">
            <v>-724831</v>
          </cell>
          <cell r="M34">
            <v>-802151</v>
          </cell>
          <cell r="N34">
            <v>-1571872</v>
          </cell>
          <cell r="O34"/>
          <cell r="P34"/>
          <cell r="T34">
            <v>31</v>
          </cell>
          <cell r="U34" t="str">
            <v>Less Sales to DE/MD/SP</v>
          </cell>
          <cell r="X34">
            <v>2082425</v>
          </cell>
          <cell r="Y34">
            <v>1681659</v>
          </cell>
          <cell r="Z34">
            <v>1607044</v>
          </cell>
          <cell r="AA34">
            <v>954483</v>
          </cell>
          <cell r="AB34">
            <v>797812</v>
          </cell>
          <cell r="AC34">
            <v>897715</v>
          </cell>
          <cell r="AD34">
            <v>827514</v>
          </cell>
          <cell r="AE34">
            <v>781466</v>
          </cell>
          <cell r="AF34">
            <v>800583</v>
          </cell>
          <cell r="AG34">
            <v>1087044</v>
          </cell>
          <cell r="AH34">
            <v>1596674</v>
          </cell>
          <cell r="AI34">
            <v>1832563</v>
          </cell>
        </row>
        <row r="35">
          <cell r="A35">
            <v>32</v>
          </cell>
          <cell r="D35">
            <v>0</v>
          </cell>
          <cell r="E35">
            <v>3382507</v>
          </cell>
          <cell r="F35">
            <v>3526045</v>
          </cell>
          <cell r="G35">
            <v>2540397</v>
          </cell>
          <cell r="H35">
            <v>2714330</v>
          </cell>
          <cell r="I35">
            <v>3379280</v>
          </cell>
          <cell r="J35">
            <v>3283661</v>
          </cell>
          <cell r="K35">
            <v>3416908</v>
          </cell>
          <cell r="L35">
            <v>3802776</v>
          </cell>
          <cell r="M35">
            <v>3143189</v>
          </cell>
          <cell r="N35">
            <v>3847823</v>
          </cell>
          <cell r="O35">
            <v>0</v>
          </cell>
          <cell r="P35">
            <v>0</v>
          </cell>
          <cell r="T35">
            <v>32</v>
          </cell>
          <cell r="X35">
            <v>7988473</v>
          </cell>
          <cell r="Y35">
            <v>7370997</v>
          </cell>
          <cell r="Z35">
            <v>7899836</v>
          </cell>
          <cell r="AA35">
            <v>5244858</v>
          </cell>
          <cell r="AB35">
            <v>5939169</v>
          </cell>
          <cell r="AC35">
            <v>6992849.333333334</v>
          </cell>
          <cell r="AD35">
            <v>6096453.666666666</v>
          </cell>
          <cell r="AE35">
            <v>5683014</v>
          </cell>
          <cell r="AF35">
            <v>5528990</v>
          </cell>
          <cell r="AG35">
            <v>6370685</v>
          </cell>
          <cell r="AH35">
            <v>7038234</v>
          </cell>
          <cell r="AI35">
            <v>7464503</v>
          </cell>
        </row>
        <row r="36">
          <cell r="A36">
            <v>33</v>
          </cell>
          <cell r="T36">
            <v>33</v>
          </cell>
          <cell r="AD36"/>
        </row>
        <row r="37">
          <cell r="A37">
            <v>34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T37">
            <v>34</v>
          </cell>
          <cell r="U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C39"/>
          <cell r="D39"/>
          <cell r="T39">
            <v>36</v>
          </cell>
          <cell r="U39" t="str">
            <v>Customers - prior year - 2020</v>
          </cell>
        </row>
        <row r="40">
          <cell r="A40">
            <v>37</v>
          </cell>
          <cell r="C40"/>
          <cell r="D40"/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/>
          <cell r="V40"/>
          <cell r="W40"/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T41">
            <v>38</v>
          </cell>
          <cell r="U41" t="str">
            <v>Commercial</v>
          </cell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</row>
        <row r="42">
          <cell r="A42">
            <v>39</v>
          </cell>
          <cell r="B42" t="str">
            <v xml:space="preserve">Industrial 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T42">
            <v>39</v>
          </cell>
          <cell r="U42" t="str">
            <v>Industrial firm</v>
          </cell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</row>
        <row r="43">
          <cell r="A43">
            <v>40</v>
          </cell>
          <cell r="B43" t="str">
            <v>Interruptible transportation</v>
          </cell>
          <cell r="C43"/>
          <cell r="D43"/>
          <cell r="E43">
            <v>16</v>
          </cell>
          <cell r="F43">
            <v>15.5</v>
          </cell>
          <cell r="G43">
            <v>15.333333333333334</v>
          </cell>
          <cell r="H43">
            <v>15.5</v>
          </cell>
          <cell r="I43">
            <v>15.2</v>
          </cell>
          <cell r="J43">
            <v>15.166666666666666</v>
          </cell>
          <cell r="K43">
            <v>15</v>
          </cell>
          <cell r="L43">
            <v>15.125</v>
          </cell>
          <cell r="M43">
            <v>15.111111111111111</v>
          </cell>
          <cell r="N43">
            <v>15.1</v>
          </cell>
          <cell r="O43">
            <v>15.1</v>
          </cell>
          <cell r="P43">
            <v>15.1</v>
          </cell>
          <cell r="T43">
            <v>40</v>
          </cell>
          <cell r="U43" t="str">
            <v>Interruptible transporation</v>
          </cell>
          <cell r="V43"/>
          <cell r="W43"/>
          <cell r="X43">
            <v>15</v>
          </cell>
          <cell r="Y43">
            <v>15</v>
          </cell>
          <cell r="Z43">
            <v>15</v>
          </cell>
          <cell r="AA43">
            <v>15</v>
          </cell>
          <cell r="AB43">
            <v>15</v>
          </cell>
          <cell r="AC43">
            <v>15.166666666666666</v>
          </cell>
          <cell r="AD43">
            <v>15.142857142857142</v>
          </cell>
          <cell r="AE43">
            <v>15.125</v>
          </cell>
          <cell r="AF43">
            <v>15.111111111111111</v>
          </cell>
          <cell r="AG43">
            <v>15.2</v>
          </cell>
          <cell r="AH43">
            <v>15.181818181818182</v>
          </cell>
          <cell r="AI43">
            <v>15.25</v>
          </cell>
        </row>
        <row r="44">
          <cell r="A44">
            <v>41</v>
          </cell>
          <cell r="B44" t="str">
            <v>Less: ESNG to DE, MD &amp; SP</v>
          </cell>
          <cell r="C44"/>
          <cell r="D44"/>
          <cell r="E44">
            <v>-4</v>
          </cell>
          <cell r="F44">
            <v>-4</v>
          </cell>
          <cell r="G44">
            <v>-4</v>
          </cell>
          <cell r="H44">
            <v>-4</v>
          </cell>
          <cell r="I44">
            <v>-4</v>
          </cell>
          <cell r="J44">
            <v>-4</v>
          </cell>
          <cell r="K44">
            <v>-4</v>
          </cell>
          <cell r="L44">
            <v>-4</v>
          </cell>
          <cell r="M44">
            <v>-4</v>
          </cell>
          <cell r="N44">
            <v>-4</v>
          </cell>
          <cell r="O44">
            <v>0</v>
          </cell>
          <cell r="P44">
            <v>0</v>
          </cell>
          <cell r="T44">
            <v>41</v>
          </cell>
          <cell r="U44" t="str">
            <v>Less: ESNG to DE, MD &amp; SP</v>
          </cell>
          <cell r="V44"/>
          <cell r="W44"/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-4</v>
          </cell>
          <cell r="AF44">
            <v>-4</v>
          </cell>
          <cell r="AG44">
            <v>-4</v>
          </cell>
          <cell r="AH44">
            <v>-4</v>
          </cell>
          <cell r="AI44">
            <v>-4</v>
          </cell>
        </row>
        <row r="45">
          <cell r="A45">
            <v>42</v>
          </cell>
          <cell r="B45" t="str">
            <v>Total customers</v>
          </cell>
          <cell r="C45"/>
          <cell r="D45"/>
          <cell r="E45">
            <v>12</v>
          </cell>
          <cell r="F45">
            <v>11.5</v>
          </cell>
          <cell r="G45">
            <v>11.333333333333334</v>
          </cell>
          <cell r="H45">
            <v>11.5</v>
          </cell>
          <cell r="I45">
            <v>11.2</v>
          </cell>
          <cell r="J45">
            <v>11.166666666666666</v>
          </cell>
          <cell r="K45">
            <v>11</v>
          </cell>
          <cell r="L45">
            <v>11.125</v>
          </cell>
          <cell r="M45">
            <v>11.111111111111111</v>
          </cell>
          <cell r="N45">
            <v>11.1</v>
          </cell>
          <cell r="O45">
            <v>15.1</v>
          </cell>
          <cell r="P45">
            <v>15.1</v>
          </cell>
          <cell r="T45">
            <v>42</v>
          </cell>
          <cell r="U45" t="str">
            <v>Total customers</v>
          </cell>
          <cell r="V45"/>
          <cell r="W45"/>
          <cell r="X45">
            <v>12</v>
          </cell>
          <cell r="Y45">
            <v>12</v>
          </cell>
          <cell r="Z45">
            <v>12</v>
          </cell>
          <cell r="AA45">
            <v>12</v>
          </cell>
          <cell r="AB45">
            <v>12</v>
          </cell>
          <cell r="AC45">
            <v>12.166666666666666</v>
          </cell>
          <cell r="AD45">
            <v>12.142857142857142</v>
          </cell>
          <cell r="AE45">
            <v>11.125</v>
          </cell>
          <cell r="AF45">
            <v>11.111111111111111</v>
          </cell>
          <cell r="AG45">
            <v>11.2</v>
          </cell>
          <cell r="AH45">
            <v>11.181818181818182</v>
          </cell>
          <cell r="AI45">
            <v>11.25</v>
          </cell>
        </row>
        <row r="46">
          <cell r="A46">
            <v>43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T46">
            <v>43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- 2020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D49"/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A50">
            <v>47</v>
          </cell>
          <cell r="B50" t="str">
            <v>Industrial firm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A51">
            <v>48</v>
          </cell>
          <cell r="B51" t="str">
            <v>Transportation firm</v>
          </cell>
          <cell r="D51"/>
          <cell r="E51">
            <v>5411569.1784296064</v>
          </cell>
          <cell r="F51">
            <v>10834262.89913193</v>
          </cell>
          <cell r="G51">
            <v>14822252.948029587</v>
          </cell>
          <cell r="H51">
            <v>18546615.48644717</v>
          </cell>
          <cell r="I51">
            <v>22633773.932928074</v>
          </cell>
          <cell r="J51">
            <v>26500278.731170647</v>
          </cell>
          <cell r="K51">
            <v>30470243.368183393</v>
          </cell>
          <cell r="L51">
            <v>34814145.526862592</v>
          </cell>
          <cell r="M51">
            <v>38625509.059817538</v>
          </cell>
          <cell r="N51">
            <v>43818222.422832526</v>
          </cell>
          <cell r="O51" t="e">
            <v>#DIV/0!</v>
          </cell>
          <cell r="P51" t="e">
            <v>#DIV/0!</v>
          </cell>
          <cell r="T51">
            <v>48</v>
          </cell>
          <cell r="U51" t="str">
            <v>Transportation firm</v>
          </cell>
          <cell r="W51"/>
          <cell r="X51">
            <v>6111377.1692528548</v>
          </cell>
          <cell r="Y51">
            <v>11576346.579920541</v>
          </cell>
          <cell r="Z51">
            <v>16438933.803791933</v>
          </cell>
          <cell r="AA51">
            <v>21313496.479130961</v>
          </cell>
          <cell r="AB51">
            <v>25559322.699939087</v>
          </cell>
          <cell r="AC51">
            <v>29601157.013012659</v>
          </cell>
          <cell r="AD51">
            <v>34154158.395148575</v>
          </cell>
          <cell r="AE51">
            <v>38719604.804026835</v>
          </cell>
          <cell r="AF51">
            <v>42586900.752862342</v>
          </cell>
          <cell r="AG51">
            <v>46100061.764820918</v>
          </cell>
          <cell r="AH51">
            <v>50766897.098545559</v>
          </cell>
          <cell r="AI51">
            <v>56396272.156289391</v>
          </cell>
        </row>
        <row r="52">
          <cell r="A52">
            <v>49</v>
          </cell>
          <cell r="B52" t="str">
            <v>Interruptible transportation</v>
          </cell>
          <cell r="D52"/>
          <cell r="E52">
            <v>24207.966334109278</v>
          </cell>
          <cell r="F52">
            <v>38781.614235780122</v>
          </cell>
          <cell r="G52">
            <v>54371.417536685301</v>
          </cell>
          <cell r="H52">
            <v>65292.435621906698</v>
          </cell>
          <cell r="I52">
            <v>74081.133441425758</v>
          </cell>
          <cell r="J52">
            <v>92839.56408851406</v>
          </cell>
          <cell r="K52">
            <v>108223.71892084405</v>
          </cell>
          <cell r="L52">
            <v>137515.45694301906</v>
          </cell>
          <cell r="M52">
            <v>145562.14944455106</v>
          </cell>
          <cell r="N52">
            <v>181413.59968115212</v>
          </cell>
          <cell r="O52" t="e">
            <v>#DIV/0!</v>
          </cell>
          <cell r="P52" t="e">
            <v>#DIV/0!</v>
          </cell>
          <cell r="T52">
            <v>49</v>
          </cell>
          <cell r="U52" t="str">
            <v>Interruptible transporation</v>
          </cell>
          <cell r="W52"/>
          <cell r="X52">
            <v>31978.752223761541</v>
          </cell>
          <cell r="Y52">
            <v>50875.648208472179</v>
          </cell>
          <cell r="Z52">
            <v>91022.724040231304</v>
          </cell>
          <cell r="AA52">
            <v>101541.62166438144</v>
          </cell>
          <cell r="AB52">
            <v>113074.27405876826</v>
          </cell>
          <cell r="AC52">
            <v>122527.45643714842</v>
          </cell>
          <cell r="AD52">
            <v>135169.79274012343</v>
          </cell>
          <cell r="AE52">
            <v>144268.03635829323</v>
          </cell>
          <cell r="AF52">
            <v>153176.55285768642</v>
          </cell>
          <cell r="AG52">
            <v>162189.72595683133</v>
          </cell>
          <cell r="AH52">
            <v>191404.7880214896</v>
          </cell>
          <cell r="AI52">
            <v>382702.40743573615</v>
          </cell>
        </row>
        <row r="53">
          <cell r="A53">
            <v>50</v>
          </cell>
          <cell r="B53" t="str">
            <v>Less: ESNG to DE, MD &amp; SP</v>
          </cell>
          <cell r="D53"/>
          <cell r="E53">
            <v>-2174001.5081763598</v>
          </cell>
          <cell r="F53">
            <v>-4206781.1124072941</v>
          </cell>
          <cell r="G53">
            <v>-5761721.8192979796</v>
          </cell>
          <cell r="H53">
            <v>-6876955.2591966651</v>
          </cell>
          <cell r="I53">
            <v>-7712090.9446099168</v>
          </cell>
          <cell r="J53">
            <v>-8433538.5108025409</v>
          </cell>
          <cell r="K53">
            <v>-9119267.5851266179</v>
          </cell>
          <cell r="L53">
            <v>-9819378.3733067643</v>
          </cell>
          <cell r="M53">
            <v>-10595925.827204308</v>
          </cell>
          <cell r="N53">
            <v>-12112364.414640576</v>
          </cell>
          <cell r="O53" t="e">
            <v>#DIV/0!</v>
          </cell>
          <cell r="P53" t="e">
            <v>#DIV/0!</v>
          </cell>
          <cell r="T53">
            <v>50</v>
          </cell>
          <cell r="U53" t="str">
            <v>Less: ESNG to DE, MD &amp; SP</v>
          </cell>
          <cell r="W53"/>
          <cell r="X53">
            <v>-1719371.9055465725</v>
          </cell>
          <cell r="Y53">
            <v>-3231422.2047931822</v>
          </cell>
          <cell r="Z53">
            <v>-4457395.6424738951</v>
          </cell>
          <cell r="AA53">
            <v>-5441403.5677498644</v>
          </cell>
          <cell r="AB53">
            <v>-6215379.0026701381</v>
          </cell>
          <cell r="AC53">
            <v>-6839366.247870923</v>
          </cell>
          <cell r="AD53">
            <v>-7424627.7849337347</v>
          </cell>
          <cell r="AE53">
            <v>-8086947.0292909853</v>
          </cell>
          <cell r="AF53">
            <v>-8837456.5552103482</v>
          </cell>
          <cell r="AG53">
            <v>-9760627.4980012123</v>
          </cell>
          <cell r="AH53">
            <v>-10932808.613651877</v>
          </cell>
          <cell r="AI53">
            <v>-12849608.41193342</v>
          </cell>
        </row>
        <row r="54">
          <cell r="A54">
            <v>51</v>
          </cell>
          <cell r="B54" t="str">
            <v>Total Deliveries</v>
          </cell>
          <cell r="C54"/>
          <cell r="D54"/>
          <cell r="E54">
            <v>3261775.6365873558</v>
          </cell>
          <cell r="F54">
            <v>6666263.4009604147</v>
          </cell>
          <cell r="G54">
            <v>9114902.5462682918</v>
          </cell>
          <cell r="H54">
            <v>11734952.662872411</v>
          </cell>
          <cell r="I54">
            <v>14995764.121759582</v>
          </cell>
          <cell r="J54">
            <v>18159579.784456618</v>
          </cell>
          <cell r="K54">
            <v>21459199.501977623</v>
          </cell>
          <cell r="L54">
            <v>25132282.610498846</v>
          </cell>
          <cell r="M54">
            <v>28175145.382057779</v>
          </cell>
          <cell r="N54">
            <v>31887271.607873105</v>
          </cell>
          <cell r="O54" t="e">
            <v>#DIV/0!</v>
          </cell>
          <cell r="P54" t="e">
            <v>#DIV/0!</v>
          </cell>
          <cell r="T54">
            <v>51</v>
          </cell>
          <cell r="U54" t="str">
            <v>Total Deliveries</v>
          </cell>
          <cell r="V54"/>
          <cell r="W54"/>
          <cell r="X54">
            <v>4423984.0159300435</v>
          </cell>
          <cell r="Y54">
            <v>8395800.0233358331</v>
          </cell>
          <cell r="Z54">
            <v>12072560.885358268</v>
          </cell>
          <cell r="AA54">
            <v>15973634.533045478</v>
          </cell>
          <cell r="AB54">
            <v>19457017.971327715</v>
          </cell>
          <cell r="AC54">
            <v>22884318.221578885</v>
          </cell>
          <cell r="AD54">
            <v>26864700.402954962</v>
          </cell>
          <cell r="AE54">
            <v>30776925.811094146</v>
          </cell>
          <cell r="AF54">
            <v>33902620.750509679</v>
          </cell>
          <cell r="AG54">
            <v>36501623.992776543</v>
          </cell>
          <cell r="AH54">
            <v>40025493.27291517</v>
          </cell>
          <cell r="AI54">
            <v>43929366.151791707</v>
          </cell>
        </row>
        <row r="55">
          <cell r="A55">
            <v>52</v>
          </cell>
          <cell r="T55">
            <v>52</v>
          </cell>
          <cell r="W55"/>
        </row>
        <row r="56">
          <cell r="A56">
            <v>53</v>
          </cell>
          <cell r="E56"/>
          <cell r="F56"/>
          <cell r="G56"/>
          <cell r="H56"/>
          <cell r="I56"/>
          <cell r="J56"/>
          <cell r="K56"/>
          <cell r="T56">
            <v>53</v>
          </cell>
          <cell r="X56"/>
          <cell r="Y56"/>
          <cell r="Z56"/>
          <cell r="AA56"/>
          <cell r="AB56"/>
          <cell r="AC56"/>
          <cell r="AD56"/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D58"/>
          <cell r="E58">
            <v>5611873</v>
          </cell>
          <cell r="F58">
            <v>11228184</v>
          </cell>
          <cell r="G58">
            <v>15365616</v>
          </cell>
          <cell r="H58">
            <v>19223996</v>
          </cell>
          <cell r="I58">
            <v>23459645</v>
          </cell>
          <cell r="J58">
            <v>27472613</v>
          </cell>
          <cell r="K58">
            <v>31583694</v>
          </cell>
          <cell r="L58">
            <v>36080975</v>
          </cell>
          <cell r="M58">
            <v>40018003</v>
          </cell>
          <cell r="N58">
            <v>45400536</v>
          </cell>
          <cell r="O58">
            <v>45400536</v>
          </cell>
          <cell r="P58">
            <v>45400536</v>
          </cell>
          <cell r="T58">
            <v>55</v>
          </cell>
          <cell r="U58" t="str">
            <v>Transportation firm</v>
          </cell>
          <cell r="W58"/>
          <cell r="X58">
            <v>6334638</v>
          </cell>
          <cell r="Y58">
            <v>12007861</v>
          </cell>
          <cell r="Z58">
            <v>17053087</v>
          </cell>
          <cell r="AA58">
            <v>22116305</v>
          </cell>
          <cell r="AB58">
            <v>26521303</v>
          </cell>
          <cell r="AC58">
            <v>30709286</v>
          </cell>
          <cell r="AD58">
            <v>35416666</v>
          </cell>
          <cell r="AE58">
            <v>40136041</v>
          </cell>
          <cell r="AF58">
            <v>44151145</v>
          </cell>
          <cell r="AG58">
            <v>47784291</v>
          </cell>
          <cell r="AH58">
            <v>52626352</v>
          </cell>
          <cell r="AI58">
            <v>58475678</v>
          </cell>
        </row>
        <row r="59">
          <cell r="A59">
            <v>56</v>
          </cell>
          <cell r="B59" t="str">
            <v>Interruptible transportation</v>
          </cell>
          <cell r="D59"/>
          <cell r="E59">
            <v>25104</v>
          </cell>
          <cell r="F59">
            <v>40198</v>
          </cell>
          <cell r="G59">
            <v>56372</v>
          </cell>
          <cell r="H59">
            <v>67686</v>
          </cell>
          <cell r="I59">
            <v>76794</v>
          </cell>
          <cell r="J59">
            <v>96263</v>
          </cell>
          <cell r="K59">
            <v>112194</v>
          </cell>
          <cell r="L59">
            <v>142520</v>
          </cell>
          <cell r="M59">
            <v>150832</v>
          </cell>
          <cell r="N59">
            <v>187994</v>
          </cell>
          <cell r="O59">
            <v>187994</v>
          </cell>
          <cell r="P59">
            <v>187994</v>
          </cell>
          <cell r="T59">
            <v>56</v>
          </cell>
          <cell r="U59" t="str">
            <v>Interruptible transportation</v>
          </cell>
          <cell r="W59"/>
          <cell r="X59">
            <v>33147</v>
          </cell>
          <cell r="Y59">
            <v>52764</v>
          </cell>
          <cell r="Z59">
            <v>94419</v>
          </cell>
          <cell r="AA59">
            <v>105345</v>
          </cell>
          <cell r="AB59">
            <v>117310</v>
          </cell>
          <cell r="AC59">
            <v>127105</v>
          </cell>
          <cell r="AD59">
            <v>140176</v>
          </cell>
          <cell r="AE59">
            <v>149581</v>
          </cell>
          <cell r="AF59">
            <v>158830</v>
          </cell>
          <cell r="AG59">
            <v>168151</v>
          </cell>
          <cell r="AH59">
            <v>198463</v>
          </cell>
          <cell r="AI59">
            <v>397235</v>
          </cell>
        </row>
        <row r="60">
          <cell r="A60">
            <v>57</v>
          </cell>
          <cell r="B60" t="str">
            <v>Less: ESNG to DE, MD &amp; SP</v>
          </cell>
          <cell r="D60"/>
          <cell r="E60">
            <v>-2254470</v>
          </cell>
          <cell r="F60">
            <v>-4359830</v>
          </cell>
          <cell r="G60">
            <v>-5973039</v>
          </cell>
          <cell r="H60">
            <v>-7128403</v>
          </cell>
          <cell r="I60">
            <v>-7993880</v>
          </cell>
          <cell r="J60">
            <v>-8742656</v>
          </cell>
          <cell r="K60">
            <v>-9452760</v>
          </cell>
          <cell r="L60">
            <v>-10177591</v>
          </cell>
          <cell r="M60">
            <v>-10979742</v>
          </cell>
          <cell r="N60">
            <v>-12551614</v>
          </cell>
          <cell r="O60">
            <v>-12551614</v>
          </cell>
          <cell r="P60">
            <v>-12551614</v>
          </cell>
          <cell r="T60">
            <v>57</v>
          </cell>
          <cell r="U60" t="str">
            <v>Less: ESNG to DE, MD &amp; SP</v>
          </cell>
          <cell r="W60"/>
          <cell r="X60">
            <v>-1782184</v>
          </cell>
          <cell r="Y60">
            <v>-3351854</v>
          </cell>
          <cell r="Z60">
            <v>-4623875</v>
          </cell>
          <cell r="AA60">
            <v>-5645966</v>
          </cell>
          <cell r="AB60">
            <v>-6448957</v>
          </cell>
          <cell r="AC60">
            <v>-7095507</v>
          </cell>
          <cell r="AD60">
            <v>-7700613</v>
          </cell>
          <cell r="AE60">
            <v>-8385263</v>
          </cell>
          <cell r="AF60">
            <v>-9164457</v>
          </cell>
          <cell r="AG60">
            <v>-10119157</v>
          </cell>
          <cell r="AH60">
            <v>-11335350</v>
          </cell>
          <cell r="AI60">
            <v>-13327043</v>
          </cell>
        </row>
        <row r="61">
          <cell r="A61">
            <v>58</v>
          </cell>
          <cell r="B61" t="str">
            <v>Total Deliveries</v>
          </cell>
          <cell r="C61"/>
          <cell r="D61">
            <v>0</v>
          </cell>
          <cell r="E61">
            <v>3382507</v>
          </cell>
          <cell r="F61">
            <v>6908552</v>
          </cell>
          <cell r="G61">
            <v>9448949</v>
          </cell>
          <cell r="H61">
            <v>12163279</v>
          </cell>
          <cell r="I61">
            <v>15542559</v>
          </cell>
          <cell r="J61">
            <v>18826220</v>
          </cell>
          <cell r="K61">
            <v>22243128</v>
          </cell>
          <cell r="L61">
            <v>26045904</v>
          </cell>
          <cell r="M61">
            <v>29189093</v>
          </cell>
          <cell r="N61">
            <v>33036916</v>
          </cell>
          <cell r="O61">
            <v>33036916</v>
          </cell>
          <cell r="P61">
            <v>33036916</v>
          </cell>
          <cell r="T61">
            <v>58</v>
          </cell>
          <cell r="U61" t="str">
            <v>Total Deliveries</v>
          </cell>
          <cell r="W61"/>
          <cell r="X61">
            <v>4585601</v>
          </cell>
          <cell r="Y61">
            <v>8708771</v>
          </cell>
          <cell r="Z61">
            <v>12523631</v>
          </cell>
          <cell r="AA61">
            <v>16575684</v>
          </cell>
          <cell r="AB61">
            <v>20189656</v>
          </cell>
          <cell r="AC61">
            <v>23740884</v>
          </cell>
          <cell r="AD61">
            <v>27856229</v>
          </cell>
          <cell r="AE61">
            <v>31900359</v>
          </cell>
          <cell r="AF61">
            <v>35145518</v>
          </cell>
          <cell r="AG61">
            <v>37833285</v>
          </cell>
          <cell r="AH61">
            <v>41489465</v>
          </cell>
          <cell r="AI61">
            <v>45545870</v>
          </cell>
        </row>
        <row r="62">
          <cell r="A62">
            <v>59</v>
          </cell>
          <cell r="T62">
            <v>59</v>
          </cell>
        </row>
        <row r="63">
          <cell r="A63">
            <v>60</v>
          </cell>
          <cell r="T63">
            <v>60</v>
          </cell>
        </row>
        <row r="64">
          <cell r="A64">
            <v>61</v>
          </cell>
          <cell r="B64" t="str">
            <v>BUDGET</v>
          </cell>
          <cell r="C64"/>
          <cell r="D64"/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  <cell r="T64">
            <v>61</v>
          </cell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</row>
        <row r="65">
          <cell r="A65">
            <v>62</v>
          </cell>
          <cell r="B65" t="str">
            <v xml:space="preserve">Customers 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T65">
            <v>62</v>
          </cell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</row>
        <row r="66">
          <cell r="A66">
            <v>63</v>
          </cell>
          <cell r="B66" t="str">
            <v>Volume (Mcfs)</v>
          </cell>
          <cell r="C66"/>
          <cell r="D66"/>
          <cell r="E66">
            <v>5441097.4903474897</v>
          </cell>
          <cell r="F66">
            <v>10876816.602316601</v>
          </cell>
          <cell r="G66">
            <v>14886088.803088803</v>
          </cell>
          <cell r="H66">
            <v>18621314.671814673</v>
          </cell>
          <cell r="I66">
            <v>22718570.463320464</v>
          </cell>
          <cell r="J66">
            <v>26614644.859455731</v>
          </cell>
          <cell r="K66">
            <v>30602096.067185201</v>
          </cell>
          <cell r="L66">
            <v>34976595.584093414</v>
          </cell>
          <cell r="M66">
            <v>38788518.289407425</v>
          </cell>
          <cell r="N66">
            <v>44024938.579262495</v>
          </cell>
          <cell r="O66">
            <v>44024938.579262495</v>
          </cell>
          <cell r="P66">
            <v>44024938.579262495</v>
          </cell>
          <cell r="T66">
            <v>63</v>
          </cell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</row>
        <row r="67">
          <cell r="A67">
            <v>64</v>
          </cell>
          <cell r="B67" t="str">
            <v>Less Sales to DE/MD/SP</v>
          </cell>
          <cell r="D67"/>
          <cell r="E67">
            <v>-2176129.3436293434</v>
          </cell>
          <cell r="F67">
            <v>-4208330.115830116</v>
          </cell>
          <cell r="G67">
            <v>-5765481.6602316601</v>
          </cell>
          <cell r="H67">
            <v>-6880697.876447876</v>
          </cell>
          <cell r="I67">
            <v>-7716100.3861003853</v>
          </cell>
          <cell r="J67">
            <v>-8438857.1428571418</v>
          </cell>
          <cell r="K67">
            <v>-9124285.7142857127</v>
          </cell>
          <cell r="L67">
            <v>-9824605.5210489985</v>
          </cell>
          <cell r="M67">
            <v>-10599630.641821945</v>
          </cell>
          <cell r="N67">
            <v>-12118347.550034506</v>
          </cell>
          <cell r="O67">
            <v>-12118347.550034506</v>
          </cell>
          <cell r="P67">
            <v>-12118347.550034506</v>
          </cell>
          <cell r="T67">
            <v>64</v>
          </cell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A68">
            <v>65</v>
          </cell>
          <cell r="D68"/>
          <cell r="E68">
            <v>3264968.1467181463</v>
          </cell>
          <cell r="F68">
            <v>6668486.4864864852</v>
          </cell>
          <cell r="G68">
            <v>9120607.1428571418</v>
          </cell>
          <cell r="H68">
            <v>11740616.795366798</v>
          </cell>
          <cell r="I68">
            <v>15002470.077220079</v>
          </cell>
          <cell r="J68">
            <v>18175787.716598589</v>
          </cell>
          <cell r="K68">
            <v>21477810.352899488</v>
          </cell>
          <cell r="L68">
            <v>25151990.063044414</v>
          </cell>
          <cell r="M68">
            <v>28188887.647585481</v>
          </cell>
          <cell r="N68">
            <v>31906591.029227987</v>
          </cell>
          <cell r="O68">
            <v>31906591.029227987</v>
          </cell>
          <cell r="P68">
            <v>31906591.029227987</v>
          </cell>
          <cell r="T68">
            <v>65</v>
          </cell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</row>
        <row r="69">
          <cell r="A69">
            <v>66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T69">
            <v>66</v>
          </cell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</row>
        <row r="70">
          <cell r="A70">
            <v>67</v>
          </cell>
          <cell r="B70" t="str">
            <v>Volume (Dts) *1.035</v>
          </cell>
          <cell r="D70"/>
          <cell r="E70">
            <v>5636977</v>
          </cell>
          <cell r="F70">
            <v>11268382</v>
          </cell>
          <cell r="G70">
            <v>15421988</v>
          </cell>
          <cell r="H70">
            <v>19291682</v>
          </cell>
          <cell r="I70">
            <v>23536439</v>
          </cell>
          <cell r="J70">
            <v>27568876</v>
          </cell>
          <cell r="K70">
            <v>31695888</v>
          </cell>
          <cell r="L70">
            <v>36223495</v>
          </cell>
          <cell r="M70">
            <v>40168835</v>
          </cell>
          <cell r="N70">
            <v>45588530</v>
          </cell>
          <cell r="O70">
            <v>45588530</v>
          </cell>
          <cell r="P70">
            <v>45588530</v>
          </cell>
          <cell r="T70">
            <v>67</v>
          </cell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</row>
        <row r="71">
          <cell r="A71">
            <v>68</v>
          </cell>
          <cell r="B71" t="str">
            <v>Less Sales to DE/MD/SP</v>
          </cell>
          <cell r="D71"/>
          <cell r="E71">
            <v>-2254470</v>
          </cell>
          <cell r="F71">
            <v>-4359830</v>
          </cell>
          <cell r="G71">
            <v>-5973039</v>
          </cell>
          <cell r="H71">
            <v>-7128403</v>
          </cell>
          <cell r="I71">
            <v>-7993880</v>
          </cell>
          <cell r="J71">
            <v>-8742656</v>
          </cell>
          <cell r="K71">
            <v>-9452760</v>
          </cell>
          <cell r="L71">
            <v>-10177591</v>
          </cell>
          <cell r="M71">
            <v>-10979742</v>
          </cell>
          <cell r="N71">
            <v>-12551614</v>
          </cell>
          <cell r="O71">
            <v>-12551614</v>
          </cell>
          <cell r="P71">
            <v>-12551614</v>
          </cell>
          <cell r="T71">
            <v>68</v>
          </cell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</row>
        <row r="72">
          <cell r="D72"/>
          <cell r="E72">
            <v>3382507</v>
          </cell>
          <cell r="F72">
            <v>6908552</v>
          </cell>
          <cell r="G72">
            <v>9448949</v>
          </cell>
          <cell r="H72">
            <v>12163279</v>
          </cell>
          <cell r="I72">
            <v>15542559</v>
          </cell>
          <cell r="J72">
            <v>18826220</v>
          </cell>
          <cell r="K72">
            <v>22243128</v>
          </cell>
          <cell r="L72">
            <v>26045904</v>
          </cell>
          <cell r="M72">
            <v>29189093</v>
          </cell>
          <cell r="N72">
            <v>33036916</v>
          </cell>
          <cell r="O72">
            <v>33036916</v>
          </cell>
          <cell r="P72">
            <v>33036916</v>
          </cell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</row>
      </sheetData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p Delmarva"/>
      <sheetName val="PESCO"/>
      <sheetName val="Delaware"/>
      <sheetName val="Maryland"/>
      <sheetName val="CFG"/>
      <sheetName val="Electric"/>
      <sheetName val="FPU-NG"/>
      <sheetName val="ESNG"/>
      <sheetName val="Florida propane"/>
      <sheetName val="Reg-Cust"/>
      <sheetName val="Reg-Vol"/>
      <sheetName val="Unreg-Cust"/>
      <sheetName val="Unreg-Vol"/>
      <sheetName val="Reg-Cust sum Q4 2011"/>
      <sheetName val="Utility stats Q4 2011"/>
      <sheetName val="Utility stats Dec YTD"/>
      <sheetName val="Utility stats Sep YTD "/>
      <sheetName val="Reg-Vol sum Q4 2011"/>
      <sheetName val="Reg-Cust sum Q3"/>
      <sheetName val="Reg-Vol sum Q3"/>
      <sheetName val="Utility stats Q3"/>
      <sheetName val="Sheet1"/>
    </sheetNames>
    <sheetDataSet>
      <sheetData sheetId="0" refreshError="1"/>
      <sheetData sheetId="1" refreshError="1"/>
      <sheetData sheetId="2">
        <row r="13">
          <cell r="C13">
            <v>2306224</v>
          </cell>
          <cell r="O13">
            <v>230845</v>
          </cell>
          <cell r="V13">
            <v>2330425</v>
          </cell>
          <cell r="AH13">
            <v>360231</v>
          </cell>
        </row>
        <row r="14">
          <cell r="C14">
            <v>2231042</v>
          </cell>
          <cell r="O14">
            <v>230031</v>
          </cell>
          <cell r="V14">
            <v>2139824</v>
          </cell>
          <cell r="AH14">
            <v>367936</v>
          </cell>
        </row>
        <row r="15">
          <cell r="C15">
            <v>1864829</v>
          </cell>
          <cell r="O15">
            <v>183165</v>
          </cell>
          <cell r="V15">
            <v>1205378</v>
          </cell>
          <cell r="AH15">
            <v>190133</v>
          </cell>
        </row>
        <row r="16">
          <cell r="C16">
            <v>101644</v>
          </cell>
          <cell r="O16">
            <v>7792</v>
          </cell>
          <cell r="V16">
            <v>230053</v>
          </cell>
          <cell r="AH16">
            <v>6741</v>
          </cell>
        </row>
      </sheetData>
      <sheetData sheetId="3">
        <row r="13">
          <cell r="C13">
            <v>521674</v>
          </cell>
          <cell r="O13">
            <v>52065</v>
          </cell>
          <cell r="V13">
            <v>550648</v>
          </cell>
          <cell r="AH13">
            <v>78739</v>
          </cell>
        </row>
        <row r="14">
          <cell r="C14">
            <v>767908</v>
          </cell>
          <cell r="O14">
            <v>75641</v>
          </cell>
          <cell r="V14">
            <v>801406</v>
          </cell>
          <cell r="AH14">
            <v>117952</v>
          </cell>
        </row>
        <row r="15">
          <cell r="C15">
            <v>1187176</v>
          </cell>
          <cell r="O15">
            <v>114541</v>
          </cell>
          <cell r="V15">
            <v>1019442</v>
          </cell>
          <cell r="AH15">
            <v>113141</v>
          </cell>
        </row>
        <row r="16">
          <cell r="V16">
            <v>2600</v>
          </cell>
        </row>
      </sheetData>
      <sheetData sheetId="4">
        <row r="14">
          <cell r="C14">
            <v>305376.20079851989</v>
          </cell>
          <cell r="O14">
            <v>27114.616807868344</v>
          </cell>
          <cell r="V14">
            <v>389208.55723282712</v>
          </cell>
          <cell r="AH14">
            <v>50693.470572651808</v>
          </cell>
        </row>
        <row r="15">
          <cell r="C15">
            <v>1200991.4808647386</v>
          </cell>
          <cell r="O15">
            <v>115423.02074203915</v>
          </cell>
          <cell r="V15">
            <v>1312876.9970788707</v>
          </cell>
          <cell r="AH15">
            <v>142299.70788704968</v>
          </cell>
        </row>
        <row r="16">
          <cell r="C16">
            <v>13757437.697536275</v>
          </cell>
          <cell r="O16">
            <v>1386176.1874573962</v>
          </cell>
          <cell r="V16">
            <v>13628016</v>
          </cell>
          <cell r="AH16">
            <v>1756824</v>
          </cell>
        </row>
      </sheetData>
      <sheetData sheetId="5">
        <row r="15">
          <cell r="C15">
            <v>318065</v>
          </cell>
          <cell r="O15">
            <v>22277</v>
          </cell>
          <cell r="V15">
            <v>347040</v>
          </cell>
          <cell r="AH15">
            <v>27315</v>
          </cell>
        </row>
        <row r="16">
          <cell r="C16">
            <v>326704</v>
          </cell>
          <cell r="O16">
            <v>29163</v>
          </cell>
          <cell r="V16">
            <v>332329</v>
          </cell>
          <cell r="AH16">
            <v>25534</v>
          </cell>
        </row>
        <row r="17">
          <cell r="C17">
            <v>52440</v>
          </cell>
          <cell r="O17">
            <v>4020</v>
          </cell>
          <cell r="V17">
            <v>66580</v>
          </cell>
          <cell r="AH17">
            <v>5340</v>
          </cell>
        </row>
        <row r="18">
          <cell r="C18">
            <v>0</v>
          </cell>
          <cell r="V18">
            <v>0</v>
          </cell>
        </row>
        <row r="20">
          <cell r="C20">
            <v>-2556</v>
          </cell>
          <cell r="O20">
            <v>-5110</v>
          </cell>
          <cell r="V20">
            <v>5558</v>
          </cell>
          <cell r="AH20">
            <v>11845</v>
          </cell>
        </row>
      </sheetData>
      <sheetData sheetId="6">
        <row r="14">
          <cell r="C14">
            <v>1158383.3904576439</v>
          </cell>
          <cell r="O14">
            <v>118816.94255111978</v>
          </cell>
          <cell r="V14">
            <v>1329597</v>
          </cell>
          <cell r="AH14">
            <v>156387</v>
          </cell>
        </row>
        <row r="15">
          <cell r="C15">
            <v>2927285.622200584</v>
          </cell>
          <cell r="O15">
            <v>290295.03407984425</v>
          </cell>
          <cell r="V15">
            <v>3140540</v>
          </cell>
          <cell r="AH15">
            <v>310393</v>
          </cell>
        </row>
        <row r="16">
          <cell r="C16">
            <v>2868383.8617332038</v>
          </cell>
          <cell r="O16">
            <v>393107.10808179167</v>
          </cell>
          <cell r="V16">
            <v>2132086.0126582277</v>
          </cell>
          <cell r="AH16">
            <v>242423.94060370012</v>
          </cell>
        </row>
        <row r="18">
          <cell r="C18">
            <v>-165855.14703018498</v>
          </cell>
          <cell r="O18">
            <v>21987.3417721519</v>
          </cell>
          <cell r="V18">
            <v>12724</v>
          </cell>
          <cell r="AH18">
            <v>140843</v>
          </cell>
        </row>
      </sheetData>
      <sheetData sheetId="7">
        <row r="21">
          <cell r="C21">
            <v>23602310</v>
          </cell>
          <cell r="O21">
            <v>2947183</v>
          </cell>
          <cell r="V21">
            <v>17167619</v>
          </cell>
          <cell r="AH21">
            <v>2859379</v>
          </cell>
        </row>
        <row r="22">
          <cell r="C22">
            <v>1225562</v>
          </cell>
          <cell r="O22">
            <v>257630</v>
          </cell>
          <cell r="V22">
            <v>437821</v>
          </cell>
          <cell r="AH22">
            <v>3567</v>
          </cell>
        </row>
        <row r="24">
          <cell r="C24">
            <v>-4686176</v>
          </cell>
          <cell r="O24">
            <v>-488044</v>
          </cell>
          <cell r="V24">
            <v>-5277077</v>
          </cell>
          <cell r="AH24">
            <v>-1116812</v>
          </cell>
        </row>
      </sheetData>
      <sheetData sheetId="8" refreshError="1"/>
      <sheetData sheetId="9">
        <row r="3">
          <cell r="F3" t="str">
            <v>For the Twelve Months ended December 31, 2011 and 2010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Act vs Act"/>
      <sheetName val="Customers Act vs Budget"/>
      <sheetName val="Volumes Act vs Act"/>
      <sheetName val="Volumes Act vs Budget"/>
      <sheetName val="Reg-Cust"/>
      <sheetName val="Reg-Vol"/>
      <sheetName val="Unreg-Cust"/>
      <sheetName val="Unreg-Vol"/>
      <sheetName val="PESCO"/>
      <sheetName val="Sharp Delmarva"/>
      <sheetName val="Florida propane"/>
      <sheetName val="Delaware"/>
      <sheetName val="Maryland"/>
      <sheetName val="CFG"/>
      <sheetName val="FPU-NG"/>
      <sheetName val="Electric"/>
      <sheetName val="ESNG"/>
      <sheetName val="Utility stats YTD 2012"/>
      <sheetName val="Utility stats Q4"/>
      <sheetName val="Utility stats YTD Q3"/>
      <sheetName val="Utility stats Q2 "/>
      <sheetName val="Utility stats YTD Q2"/>
      <sheetName val="Utility stats Q1 201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F3" t="str">
            <v>For the Twelve Months ended December 31, 2012 and 2011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C13">
            <v>1996997</v>
          </cell>
          <cell r="O13">
            <v>301640</v>
          </cell>
          <cell r="V13">
            <v>2306224</v>
          </cell>
          <cell r="AH13">
            <v>230845</v>
          </cell>
        </row>
        <row r="14">
          <cell r="C14">
            <v>1923590</v>
          </cell>
          <cell r="O14">
            <v>252745</v>
          </cell>
          <cell r="V14">
            <v>2231042</v>
          </cell>
          <cell r="AH14">
            <v>230031</v>
          </cell>
        </row>
        <row r="15">
          <cell r="C15">
            <v>2437194</v>
          </cell>
          <cell r="O15">
            <v>244228</v>
          </cell>
          <cell r="V15">
            <v>1864829</v>
          </cell>
          <cell r="AH15">
            <v>183165</v>
          </cell>
        </row>
        <row r="16">
          <cell r="C16">
            <v>120156</v>
          </cell>
          <cell r="O16">
            <v>9327</v>
          </cell>
          <cell r="V16">
            <v>101644</v>
          </cell>
          <cell r="AH16">
            <v>7792</v>
          </cell>
        </row>
      </sheetData>
      <sheetData sheetId="12">
        <row r="13">
          <cell r="C13">
            <v>440041</v>
          </cell>
          <cell r="O13">
            <v>66769</v>
          </cell>
          <cell r="V13">
            <v>521674</v>
          </cell>
          <cell r="AH13">
            <v>52065</v>
          </cell>
        </row>
        <row r="14">
          <cell r="C14">
            <v>712135</v>
          </cell>
          <cell r="O14">
            <v>89216</v>
          </cell>
          <cell r="V14">
            <v>767908</v>
          </cell>
          <cell r="AH14">
            <v>75641</v>
          </cell>
        </row>
        <row r="15">
          <cell r="C15">
            <v>1320148</v>
          </cell>
          <cell r="O15">
            <v>121462</v>
          </cell>
          <cell r="V15">
            <v>1187176</v>
          </cell>
          <cell r="AH15">
            <v>114541</v>
          </cell>
        </row>
        <row r="16">
          <cell r="V16">
            <v>0</v>
          </cell>
          <cell r="AH16">
            <v>0</v>
          </cell>
        </row>
      </sheetData>
      <sheetData sheetId="13">
        <row r="13">
          <cell r="C13">
            <v>305478</v>
          </cell>
          <cell r="O13">
            <v>28860</v>
          </cell>
          <cell r="V13">
            <v>305376.20079851989</v>
          </cell>
          <cell r="AH13">
            <v>27114.616807868344</v>
          </cell>
        </row>
        <row r="14">
          <cell r="C14">
            <v>1299278</v>
          </cell>
          <cell r="O14">
            <v>119379</v>
          </cell>
          <cell r="V14">
            <v>1200991.4808647386</v>
          </cell>
          <cell r="AH14">
            <v>115423.02074203915</v>
          </cell>
        </row>
        <row r="15">
          <cell r="C15">
            <v>13753540</v>
          </cell>
          <cell r="O15">
            <v>1339174</v>
          </cell>
          <cell r="V15">
            <v>13757438.630830657</v>
          </cell>
          <cell r="AH15">
            <v>1386176.1874573962</v>
          </cell>
        </row>
      </sheetData>
      <sheetData sheetId="14">
        <row r="13">
          <cell r="C13">
            <v>1186619.966695881</v>
          </cell>
          <cell r="O13">
            <v>129495</v>
          </cell>
          <cell r="V13">
            <v>1158383.3904576439</v>
          </cell>
          <cell r="AH13">
            <v>118816.94255111978</v>
          </cell>
        </row>
        <row r="14">
          <cell r="C14">
            <v>2732697.6780601814</v>
          </cell>
          <cell r="O14">
            <v>257996</v>
          </cell>
          <cell r="V14">
            <v>2927285.622200584</v>
          </cell>
          <cell r="AH14">
            <v>290295.03407984425</v>
          </cell>
        </row>
        <row r="15">
          <cell r="C15">
            <v>3396564.3202843508</v>
          </cell>
          <cell r="O15">
            <v>432204</v>
          </cell>
          <cell r="V15">
            <v>2868383.8617332038</v>
          </cell>
          <cell r="AH15">
            <v>393107.10808179167</v>
          </cell>
        </row>
        <row r="16">
          <cell r="C16">
            <v>176810.20058422588</v>
          </cell>
          <cell r="O16">
            <v>56553</v>
          </cell>
          <cell r="V16">
            <v>-165855.14703018498</v>
          </cell>
          <cell r="AH16">
            <v>21987.3417721519</v>
          </cell>
        </row>
      </sheetData>
      <sheetData sheetId="15">
        <row r="13">
          <cell r="C13">
            <v>292981.27500000002</v>
          </cell>
          <cell r="O13">
            <v>21341</v>
          </cell>
          <cell r="V13">
            <v>318065</v>
          </cell>
          <cell r="AH13">
            <v>22277</v>
          </cell>
        </row>
        <row r="14">
          <cell r="C14">
            <v>310003.75199999998</v>
          </cell>
          <cell r="O14">
            <v>22941</v>
          </cell>
          <cell r="V14">
            <v>326704</v>
          </cell>
          <cell r="AH14">
            <v>29163</v>
          </cell>
        </row>
        <row r="15">
          <cell r="C15">
            <v>58640</v>
          </cell>
          <cell r="O15">
            <v>3000</v>
          </cell>
          <cell r="V15">
            <v>52440</v>
          </cell>
          <cell r="AH15">
            <v>4020</v>
          </cell>
        </row>
        <row r="16">
          <cell r="C16">
            <v>9372.9590000000026</v>
          </cell>
          <cell r="O16">
            <v>3574</v>
          </cell>
          <cell r="V16">
            <v>-2556</v>
          </cell>
          <cell r="AH16">
            <v>-5110</v>
          </cell>
        </row>
      </sheetData>
      <sheetData sheetId="16">
        <row r="17">
          <cell r="C17">
            <v>29959572</v>
          </cell>
          <cell r="O17">
            <v>2498314</v>
          </cell>
          <cell r="V17">
            <v>23602310</v>
          </cell>
          <cell r="AH17">
            <v>2947183</v>
          </cell>
        </row>
        <row r="18">
          <cell r="C18">
            <v>2754171</v>
          </cell>
          <cell r="O18">
            <v>792535</v>
          </cell>
          <cell r="V18">
            <v>1225562</v>
          </cell>
          <cell r="AH18">
            <v>257630</v>
          </cell>
        </row>
        <row r="19">
          <cell r="C19">
            <v>-9348637</v>
          </cell>
          <cell r="O19">
            <v>-1155401</v>
          </cell>
          <cell r="V19">
            <v>-4686176</v>
          </cell>
          <cell r="AH19">
            <v>-488044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 Act vs Act"/>
      <sheetName val="Customers Act vs Budget"/>
      <sheetName val="Volumes Act vs Act"/>
      <sheetName val="Volumes Act vs Budget"/>
      <sheetName val="Reg-Cust"/>
      <sheetName val="Reg-Vol"/>
      <sheetName val="Unreg-Cust"/>
      <sheetName val="Unreg-Vol"/>
      <sheetName val="PESCO"/>
      <sheetName val="Sharp Delmarva"/>
      <sheetName val="Florida propane"/>
      <sheetName val="Delaware"/>
      <sheetName val="Maryland"/>
      <sheetName val="Worcester County"/>
      <sheetName val="CFG"/>
      <sheetName val="FPU-NG"/>
      <sheetName val="Electric"/>
      <sheetName val="ESNG"/>
      <sheetName val="Utility stats Q4 YTD 2013"/>
      <sheetName val="Utility stats Q4 2013 "/>
      <sheetName val="Utility stats Q3 YTD 2013"/>
      <sheetName val="Utility stats Q3 2013"/>
      <sheetName val="Utility stats Q2 YTD 2013 "/>
      <sheetName val="Utility stats Q2 2013 "/>
      <sheetName val="Utility stats Q1 2013 "/>
      <sheetName val="Utility stats YTD 2012"/>
      <sheetName val="Utility stats Q4"/>
      <sheetName val="Utility stats YTD Q3"/>
      <sheetName val="Utility stats Q2 "/>
      <sheetName val="Utility stats YTD Q2"/>
      <sheetName val="Utility stats Q1 20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G3" t="str">
            <v>For the Twelve Months ended December 31, 2013 and 2012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>
        <row r="13">
          <cell r="C13">
            <v>2426256</v>
          </cell>
          <cell r="O13">
            <v>354851</v>
          </cell>
          <cell r="V13">
            <v>1319914</v>
          </cell>
          <cell r="AH13">
            <v>0</v>
          </cell>
        </row>
        <row r="14">
          <cell r="C14">
            <v>2190271</v>
          </cell>
          <cell r="O14">
            <v>310181</v>
          </cell>
          <cell r="V14">
            <v>1117298</v>
          </cell>
          <cell r="AH14">
            <v>0</v>
          </cell>
        </row>
        <row r="15">
          <cell r="C15">
            <v>2655442</v>
          </cell>
          <cell r="O15">
            <v>270664</v>
          </cell>
          <cell r="V15">
            <v>1178492</v>
          </cell>
          <cell r="AH15">
            <v>0</v>
          </cell>
        </row>
        <row r="16">
          <cell r="C16">
            <v>65245</v>
          </cell>
          <cell r="O16">
            <v>3904</v>
          </cell>
          <cell r="V16">
            <v>48192</v>
          </cell>
          <cell r="AH16">
            <v>0</v>
          </cell>
        </row>
      </sheetData>
      <sheetData sheetId="12">
        <row r="13">
          <cell r="C13">
            <v>533386</v>
          </cell>
          <cell r="O13">
            <v>74536</v>
          </cell>
          <cell r="V13">
            <v>440041</v>
          </cell>
          <cell r="AH13">
            <v>66769</v>
          </cell>
        </row>
        <row r="14">
          <cell r="C14">
            <v>836749</v>
          </cell>
          <cell r="O14">
            <v>107771</v>
          </cell>
          <cell r="V14">
            <v>712135</v>
          </cell>
          <cell r="AH14">
            <v>89216</v>
          </cell>
        </row>
        <row r="15">
          <cell r="C15">
            <v>1272782</v>
          </cell>
          <cell r="O15">
            <v>129946</v>
          </cell>
          <cell r="V15">
            <v>1320148</v>
          </cell>
          <cell r="AH15">
            <v>121462</v>
          </cell>
        </row>
        <row r="16">
          <cell r="C16">
            <v>0</v>
          </cell>
          <cell r="V16">
            <v>0</v>
          </cell>
          <cell r="AH16">
            <v>0</v>
          </cell>
        </row>
      </sheetData>
      <sheetData sheetId="13">
        <row r="13">
          <cell r="C13">
            <v>87495.6</v>
          </cell>
          <cell r="O13">
            <v>37612</v>
          </cell>
        </row>
        <row r="14">
          <cell r="C14">
            <v>190659.4</v>
          </cell>
          <cell r="O14">
            <v>26034</v>
          </cell>
        </row>
        <row r="15">
          <cell r="C15">
            <v>29476.400000000001</v>
          </cell>
          <cell r="O15">
            <v>1651</v>
          </cell>
        </row>
        <row r="16">
          <cell r="C16">
            <v>0</v>
          </cell>
        </row>
      </sheetData>
      <sheetData sheetId="14">
        <row r="13">
          <cell r="C13">
            <v>316363.0788781771</v>
          </cell>
          <cell r="O13">
            <v>29716.914986853637</v>
          </cell>
          <cell r="V13">
            <v>305478</v>
          </cell>
          <cell r="AH13">
            <v>28860</v>
          </cell>
        </row>
        <row r="14">
          <cell r="C14">
            <v>1334509.2806505016</v>
          </cell>
          <cell r="O14">
            <v>122773.00613496933</v>
          </cell>
          <cell r="V14">
            <v>1299278</v>
          </cell>
          <cell r="AH14">
            <v>119379</v>
          </cell>
        </row>
        <row r="15">
          <cell r="C15">
            <v>13102297.106144708</v>
          </cell>
          <cell r="O15">
            <v>1133651.4753140521</v>
          </cell>
          <cell r="V15">
            <v>13753540</v>
          </cell>
          <cell r="AH15">
            <v>1339174</v>
          </cell>
        </row>
      </sheetData>
      <sheetData sheetId="15">
        <row r="13">
          <cell r="C13">
            <v>1185957</v>
          </cell>
          <cell r="O13">
            <v>126256</v>
          </cell>
          <cell r="V13">
            <v>1186619.966695881</v>
          </cell>
          <cell r="AH13">
            <v>129495</v>
          </cell>
        </row>
        <row r="14">
          <cell r="C14">
            <v>2690408</v>
          </cell>
          <cell r="O14">
            <v>254637</v>
          </cell>
          <cell r="V14">
            <v>2732697.6780601814</v>
          </cell>
          <cell r="AH14">
            <v>257996</v>
          </cell>
        </row>
        <row r="15">
          <cell r="C15">
            <v>3592158</v>
          </cell>
          <cell r="O15">
            <v>380429</v>
          </cell>
          <cell r="V15">
            <v>3396564.3202843508</v>
          </cell>
          <cell r="AH15">
            <v>432204</v>
          </cell>
        </row>
        <row r="16">
          <cell r="C16">
            <v>-79582.278481012676</v>
          </cell>
          <cell r="O16">
            <v>37434.27458617332</v>
          </cell>
          <cell r="V16">
            <v>176810.20058422588</v>
          </cell>
          <cell r="AH16">
            <v>56553</v>
          </cell>
        </row>
      </sheetData>
      <sheetData sheetId="16">
        <row r="13">
          <cell r="C13">
            <v>289744.97700000001</v>
          </cell>
          <cell r="O13">
            <v>22136</v>
          </cell>
          <cell r="V13">
            <v>292981.27500000002</v>
          </cell>
          <cell r="AH13">
            <v>21341</v>
          </cell>
        </row>
        <row r="14">
          <cell r="C14">
            <v>309812.94199999998</v>
          </cell>
          <cell r="O14">
            <v>23467</v>
          </cell>
          <cell r="V14">
            <v>310003.75199999998</v>
          </cell>
          <cell r="AH14">
            <v>22941</v>
          </cell>
        </row>
        <row r="15">
          <cell r="C15">
            <v>31120</v>
          </cell>
          <cell r="O15">
            <v>1620</v>
          </cell>
          <cell r="V15">
            <v>58640</v>
          </cell>
          <cell r="AH15">
            <v>3000</v>
          </cell>
        </row>
        <row r="16">
          <cell r="C16">
            <v>18346.764999999999</v>
          </cell>
          <cell r="O16">
            <v>2715</v>
          </cell>
          <cell r="V16">
            <v>9372.9590000000026</v>
          </cell>
          <cell r="AH16">
            <v>3574</v>
          </cell>
        </row>
      </sheetData>
      <sheetData sheetId="17">
        <row r="17">
          <cell r="C17">
            <v>32472109</v>
          </cell>
          <cell r="O17">
            <v>3432405</v>
          </cell>
          <cell r="V17">
            <v>29959572</v>
          </cell>
          <cell r="AH17">
            <v>2498314</v>
          </cell>
        </row>
        <row r="18">
          <cell r="C18">
            <v>3268023</v>
          </cell>
          <cell r="O18">
            <v>162436</v>
          </cell>
          <cell r="V18">
            <v>2754171</v>
          </cell>
          <cell r="AH18">
            <v>792535</v>
          </cell>
        </row>
        <row r="19">
          <cell r="C19">
            <v>-10258084</v>
          </cell>
          <cell r="O19">
            <v>-1286620</v>
          </cell>
          <cell r="V19">
            <v>-9348637</v>
          </cell>
          <cell r="AH19">
            <v>-1155401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CFG"/>
      <sheetName val="Maryland"/>
      <sheetName val="WorcesterCounty"/>
      <sheetName val="PESCO"/>
      <sheetName val="SharpDelmarva"/>
      <sheetName val="Floridapropane"/>
      <sheetName val="FPUNG"/>
      <sheetName val="Electric"/>
      <sheetName val="ESNG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2014 and 2013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2014</v>
          </cell>
          <cell r="J14" t="str">
            <v>Actual customers for the Month of January 2013</v>
          </cell>
          <cell r="K14" t="str">
            <v>Average customers for the One Month ended January 31, 2014</v>
          </cell>
          <cell r="L14" t="str">
            <v>Average customers for the One Month ended January 31, 2013</v>
          </cell>
          <cell r="M14" t="str">
            <v>Volume for the Month of January 2014</v>
          </cell>
          <cell r="N14" t="str">
            <v>Volume for the Month of January 2013</v>
          </cell>
          <cell r="O14" t="str">
            <v>Volume for the One Month ended January 31, 2014</v>
          </cell>
          <cell r="P14" t="str">
            <v>Volume for the One Month ended January 31, 2013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2014 and 2013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2014</v>
          </cell>
          <cell r="J15" t="str">
            <v>Actual customers for the Month of February 2013</v>
          </cell>
          <cell r="K15" t="str">
            <v>Average customers for the Two Months ended February 28, 2014</v>
          </cell>
          <cell r="L15" t="str">
            <v>Average customers for the Two Months ended February 28, 2013</v>
          </cell>
          <cell r="M15" t="str">
            <v>Volume for the Month of February 2014</v>
          </cell>
          <cell r="N15" t="str">
            <v>Volume for the Month of February 2013</v>
          </cell>
          <cell r="O15" t="str">
            <v>Volume for the Two Months ended February 28, 2014</v>
          </cell>
          <cell r="P15" t="str">
            <v>Volume for the Two Months ended February 28, 2013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2014 and 2013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2014</v>
          </cell>
          <cell r="J16" t="str">
            <v>Actual customers for the Month of March 2013</v>
          </cell>
          <cell r="K16" t="str">
            <v>Average customers for the Three Months ended March 31, 2014</v>
          </cell>
          <cell r="L16" t="str">
            <v>Average customers for the Three Months ended March 31, 2013</v>
          </cell>
          <cell r="M16" t="str">
            <v>Volume for the Month of March 2014</v>
          </cell>
          <cell r="N16" t="str">
            <v>Volume for the Month of March 2013</v>
          </cell>
          <cell r="O16" t="str">
            <v>Volume for the Three Months ended March 31, 2014</v>
          </cell>
          <cell r="P16" t="str">
            <v>Volume for the Three Months ended March 31, 2013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2014 and 2013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2014</v>
          </cell>
          <cell r="J17" t="str">
            <v>Actual customers for the Month of April 2013</v>
          </cell>
          <cell r="K17" t="str">
            <v>Average customers for the Four Months ended April 30, 2014</v>
          </cell>
          <cell r="L17" t="str">
            <v>Average customers for the Four Months ended April 30, 2013</v>
          </cell>
          <cell r="M17" t="str">
            <v>Volume for the Month of April 2014</v>
          </cell>
          <cell r="N17" t="str">
            <v>Volume for the Month of April 2013</v>
          </cell>
          <cell r="O17" t="str">
            <v>Volume for the Four Months ended April 30, 2014</v>
          </cell>
          <cell r="P17" t="str">
            <v>Volume for the Four Months ended April 30, 2013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2014 and 2013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2014</v>
          </cell>
          <cell r="J18" t="str">
            <v>Actual customers for the Month of May 2013</v>
          </cell>
          <cell r="K18" t="str">
            <v>Average customers for the Five Months ended May 31, 2014</v>
          </cell>
          <cell r="L18" t="str">
            <v>Average customers for the Five Months ended May 31, 2013</v>
          </cell>
          <cell r="M18" t="str">
            <v>Volume for the Month of May 2014</v>
          </cell>
          <cell r="N18" t="str">
            <v>Volume for the Month of May 2013</v>
          </cell>
          <cell r="O18" t="str">
            <v>Volume for the Five Months ended May 31, 2014</v>
          </cell>
          <cell r="P18" t="str">
            <v>Volume for the Five Months ended May 31, 2013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2014 and 2013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2014</v>
          </cell>
          <cell r="J19" t="str">
            <v>Actual customers for the Month of June 2013</v>
          </cell>
          <cell r="K19" t="str">
            <v>Average customers for the Six Months ended June 30, 2014</v>
          </cell>
          <cell r="L19" t="str">
            <v>Average customers for the Six Months ended June 30, 2013</v>
          </cell>
          <cell r="M19" t="str">
            <v>Volume for the Month of June 2014</v>
          </cell>
          <cell r="N19" t="str">
            <v>Volume for the Month of June 2013</v>
          </cell>
          <cell r="O19" t="str">
            <v>Volume for the Six Months ended June 30, 2014</v>
          </cell>
          <cell r="P19" t="str">
            <v>Volume for the Six Months ended June 30, 2013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2014 and 2013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2014</v>
          </cell>
          <cell r="J20" t="str">
            <v>Actual customers for the Month of July 2013</v>
          </cell>
          <cell r="K20" t="str">
            <v>Average customers for the Seven Months ended July 31, 2014</v>
          </cell>
          <cell r="L20" t="str">
            <v>Average customers for the Seven Months ended July 31, 2013</v>
          </cell>
          <cell r="M20" t="str">
            <v>Volume for the Month of July 2014</v>
          </cell>
          <cell r="N20" t="str">
            <v>Volume for the Month of July 2013</v>
          </cell>
          <cell r="O20" t="str">
            <v>Volume for the Seven Months ended July 31, 2014</v>
          </cell>
          <cell r="P20" t="str">
            <v>Volume for the Seven Months ended July 31, 2013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2014 and 2013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2014</v>
          </cell>
          <cell r="J21" t="str">
            <v>Actual customers for the Month of August 2013</v>
          </cell>
          <cell r="K21" t="str">
            <v>Average customers for the Eight Months ended August 31, 2014</v>
          </cell>
          <cell r="L21" t="str">
            <v>Average customers for the Eight Months ended August 31, 2013</v>
          </cell>
          <cell r="M21" t="str">
            <v>Volume for the Month of August 2014</v>
          </cell>
          <cell r="N21" t="str">
            <v>Volume for the Month of August 2013</v>
          </cell>
          <cell r="O21" t="str">
            <v>Volume for the Eight Months ended August 31, 2014</v>
          </cell>
          <cell r="P21" t="str">
            <v>Volume for the Eight Months ended August 31, 2013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2014 and 2013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2014</v>
          </cell>
          <cell r="J22" t="str">
            <v>Actual customers for the Month of September 2013</v>
          </cell>
          <cell r="K22" t="str">
            <v>Average customers for the Nine Months ended September 30, 2014</v>
          </cell>
          <cell r="L22" t="str">
            <v>Average customers for the Nine Months ended September 30, 2013</v>
          </cell>
          <cell r="M22" t="str">
            <v>Volume for the Month of September 2014</v>
          </cell>
          <cell r="N22" t="str">
            <v>Volume for the Month of September 2013</v>
          </cell>
          <cell r="O22" t="str">
            <v>Volume for the Nine Months ended September 30, 2014</v>
          </cell>
          <cell r="P22" t="str">
            <v>Volume for the Nine Months ended September 30, 2013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2014 and 2013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2014</v>
          </cell>
          <cell r="J23" t="str">
            <v>Actual customers for the Month of October 2013</v>
          </cell>
          <cell r="K23" t="str">
            <v>Average customers for the Ten Months ended October 31, 2014</v>
          </cell>
          <cell r="L23" t="str">
            <v>Average customers for the Ten Months ended October 31, 2013</v>
          </cell>
          <cell r="M23" t="str">
            <v>Volume for the Month of October 2014</v>
          </cell>
          <cell r="N23" t="str">
            <v>Volume for the Month of October 2013</v>
          </cell>
          <cell r="O23" t="str">
            <v>Volume for the Ten Months ended October 31, 2014</v>
          </cell>
          <cell r="P23" t="str">
            <v>Volume for the Ten Months ended October 31, 2013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2014 and 2013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2014</v>
          </cell>
          <cell r="J24" t="str">
            <v>Actual customers for the Month of November 2013</v>
          </cell>
          <cell r="K24" t="str">
            <v>Average customers for the Eleven Months ended November 30, 2014</v>
          </cell>
          <cell r="L24" t="str">
            <v>Average customers for the Eleven Months ended November 30, 2013</v>
          </cell>
          <cell r="M24" t="str">
            <v>Volume for the Month of November 2014</v>
          </cell>
          <cell r="N24" t="str">
            <v>Volume for the Month of November 2013</v>
          </cell>
          <cell r="O24" t="str">
            <v>Volume for the Eleven Months ended November 30, 2014</v>
          </cell>
          <cell r="P24" t="str">
            <v>Volume for the Eleven Months ended November 30, 2013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2014 and 2013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2014</v>
          </cell>
          <cell r="J25" t="str">
            <v>Actual customers for the Month of December 2013</v>
          </cell>
          <cell r="K25" t="str">
            <v>Average customers for the Twelve Months ended December 31, 2014</v>
          </cell>
          <cell r="L25" t="str">
            <v>Average customers for the Twelve Months ended December 31, 2013</v>
          </cell>
          <cell r="M25" t="str">
            <v>Volume for the Month of December 2014</v>
          </cell>
          <cell r="N25" t="str">
            <v>Volume for the Month of December 2013</v>
          </cell>
          <cell r="O25" t="str">
            <v>Volume for the Twelve Months ended December 31, 2014</v>
          </cell>
          <cell r="P25" t="str">
            <v>Volume for the Twelve Months ended December 31, 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G3" t="str">
            <v>For the Twelve Months ended December 31, 2014 and 2013</v>
          </cell>
        </row>
      </sheetData>
      <sheetData sheetId="6" refreshError="1"/>
      <sheetData sheetId="7" refreshError="1"/>
      <sheetData sheetId="8" refreshError="1"/>
      <sheetData sheetId="9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41465.333333333336</v>
          </cell>
          <cell r="E5">
            <v>41387</v>
          </cell>
          <cell r="F5">
            <v>41536</v>
          </cell>
          <cell r="G5">
            <v>41693</v>
          </cell>
          <cell r="H5">
            <v>41669</v>
          </cell>
          <cell r="I5">
            <v>41119</v>
          </cell>
          <cell r="J5">
            <v>41046</v>
          </cell>
          <cell r="K5">
            <v>40859</v>
          </cell>
          <cell r="L5">
            <v>40868</v>
          </cell>
          <cell r="M5">
            <v>41106</v>
          </cell>
          <cell r="N5">
            <v>41409</v>
          </cell>
          <cell r="O5">
            <v>42091</v>
          </cell>
          <cell r="P5">
            <v>42801</v>
          </cell>
          <cell r="T5">
            <v>2</v>
          </cell>
          <cell r="U5" t="str">
            <v>Residential</v>
          </cell>
          <cell r="V5">
            <v>40030</v>
          </cell>
          <cell r="W5">
            <v>480355</v>
          </cell>
          <cell r="X5">
            <v>40104</v>
          </cell>
          <cell r="Y5">
            <v>40185</v>
          </cell>
          <cell r="Z5">
            <v>40307</v>
          </cell>
          <cell r="AA5">
            <v>40310</v>
          </cell>
          <cell r="AB5">
            <v>39965</v>
          </cell>
          <cell r="AC5">
            <v>39458</v>
          </cell>
          <cell r="AD5">
            <v>39497</v>
          </cell>
          <cell r="AE5">
            <v>39432</v>
          </cell>
          <cell r="AF5">
            <v>39643</v>
          </cell>
          <cell r="AG5">
            <v>39927</v>
          </cell>
          <cell r="AH5">
            <v>40449</v>
          </cell>
          <cell r="AI5">
            <v>41078</v>
          </cell>
        </row>
        <row r="6">
          <cell r="A6">
            <v>3</v>
          </cell>
          <cell r="B6" t="str">
            <v>Commercial</v>
          </cell>
          <cell r="D6">
            <v>3663.1666666666665</v>
          </cell>
          <cell r="E6">
            <v>3693</v>
          </cell>
          <cell r="F6">
            <v>3729</v>
          </cell>
          <cell r="G6">
            <v>3736</v>
          </cell>
          <cell r="H6">
            <v>3723</v>
          </cell>
          <cell r="I6">
            <v>3659</v>
          </cell>
          <cell r="J6">
            <v>3617</v>
          </cell>
          <cell r="K6">
            <v>3602</v>
          </cell>
          <cell r="L6">
            <v>3593</v>
          </cell>
          <cell r="M6">
            <v>3589</v>
          </cell>
          <cell r="N6">
            <v>3600</v>
          </cell>
          <cell r="O6">
            <v>3660</v>
          </cell>
          <cell r="P6">
            <v>3757</v>
          </cell>
          <cell r="T6">
            <v>3</v>
          </cell>
          <cell r="U6" t="str">
            <v>Commercial</v>
          </cell>
          <cell r="V6">
            <v>3574</v>
          </cell>
          <cell r="W6">
            <v>42883</v>
          </cell>
          <cell r="X6">
            <v>3583</v>
          </cell>
          <cell r="Y6">
            <v>3605</v>
          </cell>
          <cell r="Z6">
            <v>3629</v>
          </cell>
          <cell r="AA6">
            <v>3620</v>
          </cell>
          <cell r="AB6">
            <v>3570</v>
          </cell>
          <cell r="AC6">
            <v>3537</v>
          </cell>
          <cell r="AD6">
            <v>3524</v>
          </cell>
          <cell r="AE6">
            <v>3516</v>
          </cell>
          <cell r="AF6">
            <v>3522</v>
          </cell>
          <cell r="AG6">
            <v>3506</v>
          </cell>
          <cell r="AH6">
            <v>3586</v>
          </cell>
          <cell r="AI6">
            <v>3685</v>
          </cell>
        </row>
        <row r="7">
          <cell r="A7">
            <v>4</v>
          </cell>
          <cell r="B7" t="str">
            <v xml:space="preserve">Industrial </v>
          </cell>
          <cell r="D7">
            <v>70.75</v>
          </cell>
          <cell r="E7">
            <v>70</v>
          </cell>
          <cell r="F7">
            <v>70</v>
          </cell>
          <cell r="G7">
            <v>70</v>
          </cell>
          <cell r="H7">
            <v>68</v>
          </cell>
          <cell r="I7">
            <v>69</v>
          </cell>
          <cell r="J7">
            <v>69</v>
          </cell>
          <cell r="K7">
            <v>69</v>
          </cell>
          <cell r="L7">
            <v>70</v>
          </cell>
          <cell r="M7">
            <v>71</v>
          </cell>
          <cell r="N7">
            <v>74</v>
          </cell>
          <cell r="O7">
            <v>74</v>
          </cell>
          <cell r="P7">
            <v>75</v>
          </cell>
          <cell r="T7">
            <v>4</v>
          </cell>
          <cell r="U7" t="str">
            <v xml:space="preserve">Industrial </v>
          </cell>
          <cell r="V7">
            <v>68</v>
          </cell>
          <cell r="W7">
            <v>811</v>
          </cell>
          <cell r="X7">
            <v>65</v>
          </cell>
          <cell r="Y7">
            <v>65</v>
          </cell>
          <cell r="Z7">
            <v>65</v>
          </cell>
          <cell r="AA7">
            <v>66</v>
          </cell>
          <cell r="AB7">
            <v>68</v>
          </cell>
          <cell r="AC7">
            <v>67</v>
          </cell>
          <cell r="AD7">
            <v>67</v>
          </cell>
          <cell r="AE7">
            <v>69</v>
          </cell>
          <cell r="AF7">
            <v>70</v>
          </cell>
          <cell r="AG7">
            <v>70</v>
          </cell>
          <cell r="AH7">
            <v>70</v>
          </cell>
          <cell r="AI7">
            <v>69</v>
          </cell>
        </row>
        <row r="8">
          <cell r="A8">
            <v>5</v>
          </cell>
          <cell r="B8" t="str">
            <v>Other</v>
          </cell>
          <cell r="D8">
            <v>7.083333333333333</v>
          </cell>
          <cell r="E8">
            <v>7</v>
          </cell>
          <cell r="F8">
            <v>6</v>
          </cell>
          <cell r="G8">
            <v>7</v>
          </cell>
          <cell r="H8">
            <v>7</v>
          </cell>
          <cell r="I8">
            <v>6</v>
          </cell>
          <cell r="J8">
            <v>7</v>
          </cell>
          <cell r="K8">
            <v>6</v>
          </cell>
          <cell r="L8">
            <v>7</v>
          </cell>
          <cell r="M8">
            <v>8</v>
          </cell>
          <cell r="N8">
            <v>11</v>
          </cell>
          <cell r="O8">
            <v>6</v>
          </cell>
          <cell r="P8">
            <v>7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64</v>
          </cell>
          <cell r="X8">
            <v>1</v>
          </cell>
          <cell r="Y8">
            <v>3</v>
          </cell>
          <cell r="Z8">
            <v>7</v>
          </cell>
          <cell r="AA8">
            <v>4</v>
          </cell>
          <cell r="AB8">
            <v>6</v>
          </cell>
          <cell r="AC8">
            <v>7</v>
          </cell>
          <cell r="AD8">
            <v>5</v>
          </cell>
          <cell r="AE8">
            <v>6</v>
          </cell>
          <cell r="AF8">
            <v>6</v>
          </cell>
          <cell r="AG8">
            <v>5</v>
          </cell>
          <cell r="AH8">
            <v>7</v>
          </cell>
          <cell r="AI8">
            <v>7</v>
          </cell>
        </row>
        <row r="9">
          <cell r="A9">
            <v>6</v>
          </cell>
          <cell r="B9" t="str">
            <v>Total customers</v>
          </cell>
          <cell r="D9">
            <v>45206.333333333336</v>
          </cell>
          <cell r="E9">
            <v>45157</v>
          </cell>
          <cell r="F9">
            <v>45341</v>
          </cell>
          <cell r="G9">
            <v>45506</v>
          </cell>
          <cell r="H9">
            <v>45467</v>
          </cell>
          <cell r="I9">
            <v>44853</v>
          </cell>
          <cell r="J9">
            <v>44739</v>
          </cell>
          <cell r="K9">
            <v>44536</v>
          </cell>
          <cell r="L9">
            <v>44538</v>
          </cell>
          <cell r="M9">
            <v>44774</v>
          </cell>
          <cell r="N9">
            <v>45094</v>
          </cell>
          <cell r="O9">
            <v>45831</v>
          </cell>
          <cell r="P9">
            <v>46640</v>
          </cell>
          <cell r="T9">
            <v>6</v>
          </cell>
          <cell r="U9" t="str">
            <v>Total customers</v>
          </cell>
          <cell r="V9">
            <v>43677</v>
          </cell>
          <cell r="W9">
            <v>524113</v>
          </cell>
          <cell r="X9">
            <v>43753</v>
          </cell>
          <cell r="Y9">
            <v>43858</v>
          </cell>
          <cell r="Z9">
            <v>44008</v>
          </cell>
          <cell r="AA9">
            <v>44000</v>
          </cell>
          <cell r="AB9">
            <v>43609</v>
          </cell>
          <cell r="AC9">
            <v>43069</v>
          </cell>
          <cell r="AD9">
            <v>43093</v>
          </cell>
          <cell r="AE9">
            <v>43023</v>
          </cell>
          <cell r="AF9">
            <v>43241</v>
          </cell>
          <cell r="AG9">
            <v>43508</v>
          </cell>
          <cell r="AH9">
            <v>44112</v>
          </cell>
          <cell r="AI9">
            <v>44839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2696882</v>
          </cell>
          <cell r="E12">
            <v>494520</v>
          </cell>
          <cell r="F12">
            <v>583734</v>
          </cell>
          <cell r="G12">
            <v>466076</v>
          </cell>
          <cell r="H12">
            <v>276146</v>
          </cell>
          <cell r="I12">
            <v>123421</v>
          </cell>
          <cell r="J12">
            <v>48859</v>
          </cell>
          <cell r="K12">
            <v>40996</v>
          </cell>
          <cell r="L12">
            <v>39492</v>
          </cell>
          <cell r="M12">
            <v>38628</v>
          </cell>
          <cell r="N12">
            <v>54030</v>
          </cell>
          <cell r="O12">
            <v>174063</v>
          </cell>
          <cell r="P12">
            <v>356917</v>
          </cell>
          <cell r="T12">
            <v>9</v>
          </cell>
          <cell r="U12" t="str">
            <v>Residential</v>
          </cell>
          <cell r="W12">
            <v>2426256</v>
          </cell>
          <cell r="X12">
            <v>416610</v>
          </cell>
          <cell r="Y12">
            <v>480678</v>
          </cell>
          <cell r="Z12">
            <v>412335</v>
          </cell>
          <cell r="AA12">
            <v>266088</v>
          </cell>
          <cell r="AB12">
            <v>103937</v>
          </cell>
          <cell r="AC12">
            <v>54721</v>
          </cell>
          <cell r="AD12">
            <v>38195</v>
          </cell>
          <cell r="AE12">
            <v>39151</v>
          </cell>
          <cell r="AF12">
            <v>39105</v>
          </cell>
          <cell r="AG12">
            <v>52285</v>
          </cell>
          <cell r="AH12">
            <v>168300</v>
          </cell>
          <cell r="AI12">
            <v>354851</v>
          </cell>
        </row>
        <row r="13">
          <cell r="A13">
            <v>10</v>
          </cell>
          <cell r="B13" t="str">
            <v>Commercial</v>
          </cell>
          <cell r="D13">
            <v>2303858</v>
          </cell>
          <cell r="E13">
            <v>364839</v>
          </cell>
          <cell r="F13">
            <v>384375</v>
          </cell>
          <cell r="G13">
            <v>338945</v>
          </cell>
          <cell r="H13">
            <v>205247</v>
          </cell>
          <cell r="I13">
            <v>124355</v>
          </cell>
          <cell r="J13">
            <v>83125</v>
          </cell>
          <cell r="K13">
            <v>80726</v>
          </cell>
          <cell r="L13">
            <v>73110</v>
          </cell>
          <cell r="M13">
            <v>77144</v>
          </cell>
          <cell r="N13">
            <v>103760</v>
          </cell>
          <cell r="O13">
            <v>175527</v>
          </cell>
          <cell r="P13">
            <v>292705</v>
          </cell>
          <cell r="T13">
            <v>10</v>
          </cell>
          <cell r="U13" t="str">
            <v>Commercial</v>
          </cell>
          <cell r="W13">
            <v>2190271</v>
          </cell>
          <cell r="X13">
            <v>333277</v>
          </cell>
          <cell r="Y13">
            <v>340950</v>
          </cell>
          <cell r="Z13">
            <v>305087</v>
          </cell>
          <cell r="AA13">
            <v>193838</v>
          </cell>
          <cell r="AB13">
            <v>121611</v>
          </cell>
          <cell r="AC13">
            <v>77918</v>
          </cell>
          <cell r="AD13">
            <v>74503</v>
          </cell>
          <cell r="AE13">
            <v>78930</v>
          </cell>
          <cell r="AF13">
            <v>77875</v>
          </cell>
          <cell r="AG13">
            <v>108981</v>
          </cell>
          <cell r="AH13">
            <v>167120</v>
          </cell>
          <cell r="AI13">
            <v>310181</v>
          </cell>
        </row>
        <row r="14">
          <cell r="A14">
            <v>11</v>
          </cell>
          <cell r="B14" t="str">
            <v xml:space="preserve">Industrial </v>
          </cell>
          <cell r="D14">
            <v>2750438</v>
          </cell>
          <cell r="E14">
            <v>257076</v>
          </cell>
          <cell r="F14">
            <v>254807</v>
          </cell>
          <cell r="G14">
            <v>256571</v>
          </cell>
          <cell r="H14">
            <v>229232</v>
          </cell>
          <cell r="I14">
            <v>203768</v>
          </cell>
          <cell r="J14">
            <v>186229</v>
          </cell>
          <cell r="K14">
            <v>183807</v>
          </cell>
          <cell r="L14">
            <v>180641</v>
          </cell>
          <cell r="M14">
            <v>228270</v>
          </cell>
          <cell r="N14">
            <v>264188</v>
          </cell>
          <cell r="O14">
            <v>226615</v>
          </cell>
          <cell r="P14">
            <v>279234</v>
          </cell>
          <cell r="T14">
            <v>11</v>
          </cell>
          <cell r="U14" t="str">
            <v xml:space="preserve">Industrial </v>
          </cell>
          <cell r="W14">
            <v>2655442</v>
          </cell>
          <cell r="X14">
            <v>262292</v>
          </cell>
          <cell r="Y14">
            <v>241695</v>
          </cell>
          <cell r="Z14">
            <v>247171</v>
          </cell>
          <cell r="AA14">
            <v>217228</v>
          </cell>
          <cell r="AB14">
            <v>203987</v>
          </cell>
          <cell r="AC14">
            <v>170762</v>
          </cell>
          <cell r="AD14">
            <v>176196</v>
          </cell>
          <cell r="AE14">
            <v>189027</v>
          </cell>
          <cell r="AF14">
            <v>232356</v>
          </cell>
          <cell r="AG14">
            <v>232509</v>
          </cell>
          <cell r="AH14">
            <v>211555</v>
          </cell>
          <cell r="AI14">
            <v>270664</v>
          </cell>
        </row>
        <row r="15">
          <cell r="A15">
            <v>12</v>
          </cell>
          <cell r="B15" t="str">
            <v>Other</v>
          </cell>
          <cell r="D15">
            <v>70654</v>
          </cell>
          <cell r="E15">
            <v>1410</v>
          </cell>
          <cell r="F15">
            <v>2320</v>
          </cell>
          <cell r="G15">
            <v>2452</v>
          </cell>
          <cell r="H15">
            <v>6250</v>
          </cell>
          <cell r="I15">
            <v>3539</v>
          </cell>
          <cell r="J15">
            <v>8661</v>
          </cell>
          <cell r="K15">
            <v>9240</v>
          </cell>
          <cell r="L15">
            <v>12010</v>
          </cell>
          <cell r="M15">
            <v>7861</v>
          </cell>
          <cell r="N15">
            <v>7872</v>
          </cell>
          <cell r="O15">
            <v>4625</v>
          </cell>
          <cell r="P15">
            <v>4414</v>
          </cell>
          <cell r="T15">
            <v>12</v>
          </cell>
          <cell r="U15" t="str">
            <v xml:space="preserve">Interruptible </v>
          </cell>
          <cell r="W15">
            <v>65245</v>
          </cell>
          <cell r="X15">
            <v>1885</v>
          </cell>
          <cell r="Y15">
            <v>1843</v>
          </cell>
          <cell r="Z15">
            <v>1722</v>
          </cell>
          <cell r="AA15">
            <v>4379</v>
          </cell>
          <cell r="AB15">
            <v>3981</v>
          </cell>
          <cell r="AC15">
            <v>8096</v>
          </cell>
          <cell r="AD15">
            <v>7186</v>
          </cell>
          <cell r="AE15">
            <v>8443</v>
          </cell>
          <cell r="AF15">
            <v>9882</v>
          </cell>
          <cell r="AG15">
            <v>9588</v>
          </cell>
          <cell r="AH15">
            <v>4336</v>
          </cell>
          <cell r="AI15">
            <v>3904</v>
          </cell>
        </row>
        <row r="16">
          <cell r="A16">
            <v>13</v>
          </cell>
          <cell r="B16" t="str">
            <v>Total customers</v>
          </cell>
          <cell r="D16">
            <v>7821832</v>
          </cell>
          <cell r="E16">
            <v>1117845</v>
          </cell>
          <cell r="F16">
            <v>1225236</v>
          </cell>
          <cell r="G16">
            <v>1064044</v>
          </cell>
          <cell r="H16">
            <v>716875</v>
          </cell>
          <cell r="I16">
            <v>455083</v>
          </cell>
          <cell r="J16">
            <v>326874</v>
          </cell>
          <cell r="K16">
            <v>314769</v>
          </cell>
          <cell r="L16">
            <v>305253</v>
          </cell>
          <cell r="M16">
            <v>351903</v>
          </cell>
          <cell r="N16">
            <v>429850</v>
          </cell>
          <cell r="O16">
            <v>580830</v>
          </cell>
          <cell r="P16">
            <v>933270</v>
          </cell>
          <cell r="T16">
            <v>13</v>
          </cell>
          <cell r="U16" t="str">
            <v>Total Deliveries</v>
          </cell>
          <cell r="W16">
            <v>7337214</v>
          </cell>
          <cell r="X16">
            <v>1014064</v>
          </cell>
          <cell r="Y16">
            <v>1065166</v>
          </cell>
          <cell r="Z16">
            <v>966315</v>
          </cell>
          <cell r="AA16">
            <v>681533</v>
          </cell>
          <cell r="AB16">
            <v>433516</v>
          </cell>
          <cell r="AC16">
            <v>311497</v>
          </cell>
          <cell r="AD16">
            <v>296080</v>
          </cell>
          <cell r="AE16">
            <v>315551</v>
          </cell>
          <cell r="AF16">
            <v>359218</v>
          </cell>
          <cell r="AG16">
            <v>403363</v>
          </cell>
          <cell r="AH16">
            <v>551311</v>
          </cell>
          <cell r="AI16">
            <v>939600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  <cell r="T18">
            <v>15</v>
          </cell>
          <cell r="X18">
            <v>1.0380400000000001</v>
          </cell>
          <cell r="Y18">
            <v>1.0367999999999999</v>
          </cell>
          <cell r="Z18">
            <v>1.0362800000000001</v>
          </cell>
          <cell r="AA18">
            <v>1.02982</v>
          </cell>
          <cell r="AB18">
            <v>1.03478</v>
          </cell>
          <cell r="AC18">
            <v>1.0458799999999999</v>
          </cell>
          <cell r="AD18">
            <v>1.0603199999999999</v>
          </cell>
          <cell r="AE18">
            <v>1.06446</v>
          </cell>
          <cell r="AF18">
            <v>1.07433</v>
          </cell>
          <cell r="AG18">
            <v>1.0718000000000001</v>
          </cell>
          <cell r="AH18">
            <v>1.0765</v>
          </cell>
          <cell r="AI18">
            <v>1.0692900000000001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2857767</v>
          </cell>
          <cell r="E21">
            <v>526590</v>
          </cell>
          <cell r="F21">
            <v>615051</v>
          </cell>
          <cell r="G21">
            <v>490923</v>
          </cell>
          <cell r="H21">
            <v>291734</v>
          </cell>
          <cell r="I21">
            <v>130566</v>
          </cell>
          <cell r="J21">
            <v>51771</v>
          </cell>
          <cell r="K21">
            <v>43745</v>
          </cell>
          <cell r="L21">
            <v>42122</v>
          </cell>
          <cell r="M21">
            <v>41109</v>
          </cell>
          <cell r="N21">
            <v>57534</v>
          </cell>
          <cell r="O21">
            <v>185767</v>
          </cell>
          <cell r="P21">
            <v>380855</v>
          </cell>
          <cell r="T21">
            <v>18</v>
          </cell>
          <cell r="U21" t="str">
            <v>Residential</v>
          </cell>
          <cell r="W21">
            <v>2537766</v>
          </cell>
          <cell r="X21">
            <v>432458</v>
          </cell>
          <cell r="Y21">
            <v>498367</v>
          </cell>
          <cell r="Z21">
            <v>427295</v>
          </cell>
          <cell r="AA21">
            <v>274023</v>
          </cell>
          <cell r="AB21">
            <v>107552</v>
          </cell>
          <cell r="AC21">
            <v>57232</v>
          </cell>
          <cell r="AD21">
            <v>40499</v>
          </cell>
          <cell r="AE21">
            <v>41675</v>
          </cell>
          <cell r="AF21">
            <v>42012</v>
          </cell>
          <cell r="AG21">
            <v>56039</v>
          </cell>
          <cell r="AH21">
            <v>181175</v>
          </cell>
          <cell r="AI21">
            <v>379439</v>
          </cell>
        </row>
        <row r="22">
          <cell r="A22">
            <v>19</v>
          </cell>
          <cell r="B22" t="str">
            <v>Commercial</v>
          </cell>
          <cell r="D22">
            <v>2443347</v>
          </cell>
          <cell r="E22">
            <v>388499</v>
          </cell>
          <cell r="F22">
            <v>404997</v>
          </cell>
          <cell r="G22">
            <v>357014</v>
          </cell>
          <cell r="H22">
            <v>216833</v>
          </cell>
          <cell r="I22">
            <v>131554</v>
          </cell>
          <cell r="J22">
            <v>88078</v>
          </cell>
          <cell r="K22">
            <v>86139</v>
          </cell>
          <cell r="L22">
            <v>77979</v>
          </cell>
          <cell r="M22">
            <v>82098</v>
          </cell>
          <cell r="N22">
            <v>110490</v>
          </cell>
          <cell r="O22">
            <v>187329</v>
          </cell>
          <cell r="P22">
            <v>312337</v>
          </cell>
          <cell r="T22">
            <v>19</v>
          </cell>
          <cell r="U22" t="str">
            <v>Commercial</v>
          </cell>
          <cell r="W22">
            <v>2297622</v>
          </cell>
          <cell r="X22">
            <v>345955</v>
          </cell>
          <cell r="Y22">
            <v>353497</v>
          </cell>
          <cell r="Z22">
            <v>316156</v>
          </cell>
          <cell r="AA22">
            <v>199618</v>
          </cell>
          <cell r="AB22">
            <v>125841</v>
          </cell>
          <cell r="AC22">
            <v>81493</v>
          </cell>
          <cell r="AD22">
            <v>78997</v>
          </cell>
          <cell r="AE22">
            <v>84018</v>
          </cell>
          <cell r="AF22">
            <v>83663</v>
          </cell>
          <cell r="AG22">
            <v>116806</v>
          </cell>
          <cell r="AH22">
            <v>179905</v>
          </cell>
          <cell r="AI22">
            <v>331673</v>
          </cell>
        </row>
        <row r="23">
          <cell r="A23">
            <v>20</v>
          </cell>
          <cell r="B23" t="str">
            <v xml:space="preserve">Industrial </v>
          </cell>
          <cell r="D23">
            <v>2920405</v>
          </cell>
          <cell r="E23">
            <v>273747</v>
          </cell>
          <cell r="F23">
            <v>268477</v>
          </cell>
          <cell r="G23">
            <v>270249</v>
          </cell>
          <cell r="H23">
            <v>242172</v>
          </cell>
          <cell r="I23">
            <v>215564</v>
          </cell>
          <cell r="J23">
            <v>197326</v>
          </cell>
          <cell r="K23">
            <v>196131</v>
          </cell>
          <cell r="L23">
            <v>192672</v>
          </cell>
          <cell r="M23">
            <v>242929</v>
          </cell>
          <cell r="N23">
            <v>281323</v>
          </cell>
          <cell r="O23">
            <v>241853</v>
          </cell>
          <cell r="P23">
            <v>297962</v>
          </cell>
          <cell r="T23">
            <v>20</v>
          </cell>
          <cell r="U23" t="str">
            <v xml:space="preserve">Industrial </v>
          </cell>
          <cell r="W23">
            <v>2796405</v>
          </cell>
          <cell r="X23">
            <v>272270</v>
          </cell>
          <cell r="Y23">
            <v>250589</v>
          </cell>
          <cell r="Z23">
            <v>256138</v>
          </cell>
          <cell r="AA23">
            <v>223706</v>
          </cell>
          <cell r="AB23">
            <v>211082</v>
          </cell>
          <cell r="AC23">
            <v>178597</v>
          </cell>
          <cell r="AD23">
            <v>186824</v>
          </cell>
          <cell r="AE23">
            <v>201212</v>
          </cell>
          <cell r="AF23">
            <v>249627</v>
          </cell>
          <cell r="AG23">
            <v>249203</v>
          </cell>
          <cell r="AH23">
            <v>227739</v>
          </cell>
          <cell r="AI23">
            <v>289418</v>
          </cell>
        </row>
        <row r="24">
          <cell r="A24">
            <v>21</v>
          </cell>
          <cell r="B24" t="str">
            <v>Other</v>
          </cell>
          <cell r="D24">
            <v>75117</v>
          </cell>
          <cell r="E24">
            <v>1501</v>
          </cell>
          <cell r="F24">
            <v>2444</v>
          </cell>
          <cell r="G24">
            <v>2583</v>
          </cell>
          <cell r="H24">
            <v>6603</v>
          </cell>
          <cell r="I24">
            <v>3744</v>
          </cell>
          <cell r="J24">
            <v>9177</v>
          </cell>
          <cell r="K24">
            <v>9860</v>
          </cell>
          <cell r="L24">
            <v>12810</v>
          </cell>
          <cell r="M24">
            <v>8366</v>
          </cell>
          <cell r="N24">
            <v>8383</v>
          </cell>
          <cell r="O24">
            <v>4936</v>
          </cell>
          <cell r="P24">
            <v>4710</v>
          </cell>
          <cell r="T24">
            <v>21</v>
          </cell>
          <cell r="U24" t="str">
            <v xml:space="preserve">Interruptible </v>
          </cell>
          <cell r="W24">
            <v>69090</v>
          </cell>
          <cell r="X24">
            <v>1957</v>
          </cell>
          <cell r="Y24">
            <v>1911</v>
          </cell>
          <cell r="Z24">
            <v>1784</v>
          </cell>
          <cell r="AA24">
            <v>4510</v>
          </cell>
          <cell r="AB24">
            <v>4119</v>
          </cell>
          <cell r="AC24">
            <v>8467</v>
          </cell>
          <cell r="AD24">
            <v>7619</v>
          </cell>
          <cell r="AE24">
            <v>8987</v>
          </cell>
          <cell r="AF24">
            <v>10617</v>
          </cell>
          <cell r="AG24">
            <v>10276</v>
          </cell>
          <cell r="AH24">
            <v>4668</v>
          </cell>
          <cell r="AI24">
            <v>4175</v>
          </cell>
        </row>
        <row r="25">
          <cell r="A25">
            <v>22</v>
          </cell>
          <cell r="B25" t="str">
            <v>Total Volume</v>
          </cell>
          <cell r="D25">
            <v>8296636</v>
          </cell>
          <cell r="E25">
            <v>1190337</v>
          </cell>
          <cell r="F25">
            <v>1290969</v>
          </cell>
          <cell r="G25">
            <v>1120769</v>
          </cell>
          <cell r="H25">
            <v>757342</v>
          </cell>
          <cell r="I25">
            <v>481428</v>
          </cell>
          <cell r="J25">
            <v>346352</v>
          </cell>
          <cell r="K25">
            <v>335875</v>
          </cell>
          <cell r="L25">
            <v>325583</v>
          </cell>
          <cell r="M25">
            <v>374502</v>
          </cell>
          <cell r="N25">
            <v>457730</v>
          </cell>
          <cell r="O25">
            <v>619885</v>
          </cell>
          <cell r="P25">
            <v>995864</v>
          </cell>
          <cell r="T25">
            <v>22</v>
          </cell>
          <cell r="U25" t="str">
            <v>Total Deliveries</v>
          </cell>
          <cell r="W25">
            <v>7700883</v>
          </cell>
          <cell r="X25">
            <v>1052640</v>
          </cell>
          <cell r="Y25">
            <v>1104364</v>
          </cell>
          <cell r="Z25">
            <v>1001373</v>
          </cell>
          <cell r="AA25">
            <v>701857</v>
          </cell>
          <cell r="AB25">
            <v>448594</v>
          </cell>
          <cell r="AC25">
            <v>325789</v>
          </cell>
          <cell r="AD25">
            <v>313939</v>
          </cell>
          <cell r="AE25">
            <v>335892</v>
          </cell>
          <cell r="AF25">
            <v>385919</v>
          </cell>
          <cell r="AG25">
            <v>432324</v>
          </cell>
          <cell r="AH25">
            <v>593487</v>
          </cell>
          <cell r="AI25">
            <v>1004705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44725</v>
          </cell>
          <cell r="F28">
            <v>44921</v>
          </cell>
          <cell r="G28">
            <v>45084</v>
          </cell>
          <cell r="H28">
            <v>45166</v>
          </cell>
          <cell r="I28">
            <v>45066</v>
          </cell>
          <cell r="J28">
            <v>45019</v>
          </cell>
          <cell r="K28">
            <v>44911</v>
          </cell>
          <cell r="L28">
            <v>44985</v>
          </cell>
          <cell r="M28">
            <v>45185</v>
          </cell>
          <cell r="N28">
            <v>46326</v>
          </cell>
          <cell r="O28">
            <v>47157</v>
          </cell>
          <cell r="P28">
            <v>47558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1118516</v>
          </cell>
          <cell r="F29">
            <v>1112486</v>
          </cell>
          <cell r="G29">
            <v>960394</v>
          </cell>
          <cell r="H29">
            <v>673074</v>
          </cell>
          <cell r="I29">
            <v>438960</v>
          </cell>
          <cell r="J29">
            <v>365608</v>
          </cell>
          <cell r="K29">
            <v>308336</v>
          </cell>
          <cell r="L29">
            <v>346574</v>
          </cell>
          <cell r="M29">
            <v>358046</v>
          </cell>
          <cell r="N29">
            <v>411744</v>
          </cell>
          <cell r="O29">
            <v>651402</v>
          </cell>
          <cell r="P29">
            <v>877650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1157664.0599999998</v>
          </cell>
          <cell r="F30">
            <v>1151423.01</v>
          </cell>
          <cell r="G30">
            <v>994007.78999999992</v>
          </cell>
          <cell r="H30">
            <v>696631.59</v>
          </cell>
          <cell r="I30">
            <v>454323.6</v>
          </cell>
          <cell r="J30">
            <v>378404.27999999997</v>
          </cell>
          <cell r="K30">
            <v>319127.75999999995</v>
          </cell>
          <cell r="L30">
            <v>358704.08999999997</v>
          </cell>
          <cell r="M30">
            <v>370577.61</v>
          </cell>
          <cell r="N30">
            <v>426155.04</v>
          </cell>
          <cell r="O30">
            <v>674201.07</v>
          </cell>
          <cell r="P30">
            <v>908367.74999999988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41387</v>
          </cell>
          <cell r="F34">
            <v>41462</v>
          </cell>
          <cell r="G34">
            <v>41539</v>
          </cell>
          <cell r="H34">
            <v>41571</v>
          </cell>
          <cell r="I34">
            <v>41481</v>
          </cell>
          <cell r="J34">
            <v>41408</v>
          </cell>
          <cell r="K34">
            <v>41330</v>
          </cell>
          <cell r="L34">
            <v>41272</v>
          </cell>
          <cell r="M34">
            <v>41254</v>
          </cell>
          <cell r="N34">
            <v>41269</v>
          </cell>
          <cell r="O34">
            <v>41344</v>
          </cell>
          <cell r="P34">
            <v>41465</v>
          </cell>
          <cell r="T34">
            <v>31</v>
          </cell>
          <cell r="U34" t="str">
            <v>Residential</v>
          </cell>
          <cell r="X34">
            <v>40104</v>
          </cell>
          <cell r="Y34">
            <v>40145</v>
          </cell>
          <cell r="Z34">
            <v>40199</v>
          </cell>
          <cell r="AA34">
            <v>40227</v>
          </cell>
          <cell r="AB34">
            <v>40174</v>
          </cell>
          <cell r="AC34">
            <v>40055</v>
          </cell>
          <cell r="AD34">
            <v>39975</v>
          </cell>
          <cell r="AE34">
            <v>39907</v>
          </cell>
          <cell r="AF34">
            <v>39878</v>
          </cell>
          <cell r="AG34">
            <v>39883</v>
          </cell>
          <cell r="AH34">
            <v>39934</v>
          </cell>
          <cell r="AI34">
            <v>40030</v>
          </cell>
        </row>
        <row r="35">
          <cell r="A35">
            <v>32</v>
          </cell>
          <cell r="B35" t="str">
            <v>Commercial</v>
          </cell>
          <cell r="E35">
            <v>3693</v>
          </cell>
          <cell r="F35">
            <v>3711</v>
          </cell>
          <cell r="G35">
            <v>3719</v>
          </cell>
          <cell r="H35">
            <v>3720</v>
          </cell>
          <cell r="I35">
            <v>3708</v>
          </cell>
          <cell r="J35">
            <v>3693</v>
          </cell>
          <cell r="K35">
            <v>3680</v>
          </cell>
          <cell r="L35">
            <v>3669</v>
          </cell>
          <cell r="M35">
            <v>3660</v>
          </cell>
          <cell r="N35">
            <v>3654</v>
          </cell>
          <cell r="O35">
            <v>3655</v>
          </cell>
          <cell r="P35">
            <v>3663</v>
          </cell>
          <cell r="T35">
            <v>32</v>
          </cell>
          <cell r="U35" t="str">
            <v>Commercial</v>
          </cell>
          <cell r="X35">
            <v>3583</v>
          </cell>
          <cell r="Y35">
            <v>3594</v>
          </cell>
          <cell r="Z35">
            <v>3606</v>
          </cell>
          <cell r="AA35">
            <v>3609</v>
          </cell>
          <cell r="AB35">
            <v>3601</v>
          </cell>
          <cell r="AC35">
            <v>3591</v>
          </cell>
          <cell r="AD35">
            <v>3581</v>
          </cell>
          <cell r="AE35">
            <v>3573</v>
          </cell>
          <cell r="AF35">
            <v>3567</v>
          </cell>
          <cell r="AG35">
            <v>3561</v>
          </cell>
          <cell r="AH35">
            <v>3563</v>
          </cell>
          <cell r="AI35">
            <v>3574</v>
          </cell>
        </row>
        <row r="36">
          <cell r="A36">
            <v>33</v>
          </cell>
          <cell r="B36" t="str">
            <v xml:space="preserve">Industrial </v>
          </cell>
          <cell r="E36">
            <v>70</v>
          </cell>
          <cell r="F36">
            <v>70</v>
          </cell>
          <cell r="G36">
            <v>70</v>
          </cell>
          <cell r="H36">
            <v>70</v>
          </cell>
          <cell r="I36">
            <v>69</v>
          </cell>
          <cell r="J36">
            <v>69</v>
          </cell>
          <cell r="K36">
            <v>69</v>
          </cell>
          <cell r="L36">
            <v>69</v>
          </cell>
          <cell r="M36">
            <v>70</v>
          </cell>
          <cell r="N36">
            <v>70</v>
          </cell>
          <cell r="O36">
            <v>70</v>
          </cell>
          <cell r="P36">
            <v>71</v>
          </cell>
          <cell r="T36">
            <v>33</v>
          </cell>
          <cell r="U36" t="str">
            <v xml:space="preserve">Industrial </v>
          </cell>
          <cell r="X36">
            <v>65</v>
          </cell>
          <cell r="Y36">
            <v>65</v>
          </cell>
          <cell r="Z36">
            <v>65</v>
          </cell>
          <cell r="AA36">
            <v>65</v>
          </cell>
          <cell r="AB36">
            <v>66</v>
          </cell>
          <cell r="AC36">
            <v>66</v>
          </cell>
          <cell r="AD36">
            <v>66</v>
          </cell>
          <cell r="AE36">
            <v>67</v>
          </cell>
          <cell r="AF36">
            <v>67</v>
          </cell>
          <cell r="AG36">
            <v>67</v>
          </cell>
          <cell r="AH36">
            <v>67</v>
          </cell>
          <cell r="AI36">
            <v>68</v>
          </cell>
        </row>
        <row r="37">
          <cell r="A37">
            <v>34</v>
          </cell>
          <cell r="B37" t="str">
            <v>Other</v>
          </cell>
          <cell r="E37">
            <v>7</v>
          </cell>
          <cell r="F37">
            <v>7</v>
          </cell>
          <cell r="G37">
            <v>7</v>
          </cell>
          <cell r="H37">
            <v>7</v>
          </cell>
          <cell r="I37">
            <v>7</v>
          </cell>
          <cell r="J37">
            <v>7</v>
          </cell>
          <cell r="K37">
            <v>7</v>
          </cell>
          <cell r="L37">
            <v>7</v>
          </cell>
          <cell r="M37">
            <v>7</v>
          </cell>
          <cell r="N37">
            <v>7</v>
          </cell>
          <cell r="O37">
            <v>7</v>
          </cell>
          <cell r="P37">
            <v>7</v>
          </cell>
          <cell r="T37">
            <v>34</v>
          </cell>
          <cell r="U37" t="str">
            <v>Other</v>
          </cell>
          <cell r="X37">
            <v>1</v>
          </cell>
          <cell r="Y37">
            <v>2</v>
          </cell>
          <cell r="Z37">
            <v>4</v>
          </cell>
          <cell r="AA37">
            <v>4</v>
          </cell>
          <cell r="AB37">
            <v>4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45157</v>
          </cell>
          <cell r="F38">
            <v>45250</v>
          </cell>
          <cell r="G38">
            <v>45335</v>
          </cell>
          <cell r="H38">
            <v>45368</v>
          </cell>
          <cell r="I38">
            <v>45265</v>
          </cell>
          <cell r="J38">
            <v>45177</v>
          </cell>
          <cell r="K38">
            <v>45086</v>
          </cell>
          <cell r="L38">
            <v>45017</v>
          </cell>
          <cell r="M38">
            <v>44991</v>
          </cell>
          <cell r="N38">
            <v>45000</v>
          </cell>
          <cell r="O38">
            <v>45076</v>
          </cell>
          <cell r="P38">
            <v>45206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43753</v>
          </cell>
          <cell r="Y38">
            <v>43806</v>
          </cell>
          <cell r="Z38">
            <v>43874</v>
          </cell>
          <cell r="AA38">
            <v>43905</v>
          </cell>
          <cell r="AB38">
            <v>43845</v>
          </cell>
          <cell r="AC38">
            <v>43717</v>
          </cell>
          <cell r="AD38">
            <v>43627</v>
          </cell>
          <cell r="AE38">
            <v>43552</v>
          </cell>
          <cell r="AF38">
            <v>43517</v>
          </cell>
          <cell r="AG38">
            <v>43516</v>
          </cell>
          <cell r="AH38">
            <v>43569</v>
          </cell>
          <cell r="AI38">
            <v>43677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494520</v>
          </cell>
          <cell r="F41">
            <v>1078254</v>
          </cell>
          <cell r="G41">
            <v>1544330</v>
          </cell>
          <cell r="H41">
            <v>1820476</v>
          </cell>
          <cell r="I41">
            <v>1943897</v>
          </cell>
          <cell r="J41">
            <v>1992756</v>
          </cell>
          <cell r="K41">
            <v>2033752</v>
          </cell>
          <cell r="L41">
            <v>2073244</v>
          </cell>
          <cell r="M41">
            <v>2111872</v>
          </cell>
          <cell r="N41">
            <v>2165902</v>
          </cell>
          <cell r="O41">
            <v>2339965</v>
          </cell>
          <cell r="P41">
            <v>2696882</v>
          </cell>
          <cell r="T41">
            <v>38</v>
          </cell>
          <cell r="U41" t="str">
            <v>Residential</v>
          </cell>
          <cell r="X41">
            <v>416610</v>
          </cell>
          <cell r="Y41">
            <v>897288</v>
          </cell>
          <cell r="Z41">
            <v>1309623</v>
          </cell>
          <cell r="AA41">
            <v>1575711</v>
          </cell>
          <cell r="AB41">
            <v>1679648</v>
          </cell>
          <cell r="AC41">
            <v>1734369</v>
          </cell>
          <cell r="AD41">
            <v>1772564</v>
          </cell>
          <cell r="AE41">
            <v>1811715</v>
          </cell>
          <cell r="AF41">
            <v>1850820</v>
          </cell>
          <cell r="AG41">
            <v>1903105</v>
          </cell>
          <cell r="AH41">
            <v>2071405</v>
          </cell>
          <cell r="AI41">
            <v>2426256</v>
          </cell>
        </row>
        <row r="42">
          <cell r="A42">
            <v>39</v>
          </cell>
          <cell r="B42" t="str">
            <v>Commercial</v>
          </cell>
          <cell r="E42">
            <v>364839</v>
          </cell>
          <cell r="F42">
            <v>749214</v>
          </cell>
          <cell r="G42">
            <v>1088159</v>
          </cell>
          <cell r="H42">
            <v>1293406</v>
          </cell>
          <cell r="I42">
            <v>1417761</v>
          </cell>
          <cell r="J42">
            <v>1500886</v>
          </cell>
          <cell r="K42">
            <v>1581612</v>
          </cell>
          <cell r="L42">
            <v>1654722</v>
          </cell>
          <cell r="M42">
            <v>1731866</v>
          </cell>
          <cell r="N42">
            <v>1835626</v>
          </cell>
          <cell r="O42">
            <v>2011153</v>
          </cell>
          <cell r="P42">
            <v>2303858</v>
          </cell>
          <cell r="T42">
            <v>39</v>
          </cell>
          <cell r="U42" t="str">
            <v>Commercial</v>
          </cell>
          <cell r="X42">
            <v>333277</v>
          </cell>
          <cell r="Y42">
            <v>674227</v>
          </cell>
          <cell r="Z42">
            <v>979314</v>
          </cell>
          <cell r="AA42">
            <v>1173152</v>
          </cell>
          <cell r="AB42">
            <v>1294763</v>
          </cell>
          <cell r="AC42">
            <v>1372681</v>
          </cell>
          <cell r="AD42">
            <v>1447184</v>
          </cell>
          <cell r="AE42">
            <v>1526114</v>
          </cell>
          <cell r="AF42">
            <v>1603989</v>
          </cell>
          <cell r="AG42">
            <v>1712970</v>
          </cell>
          <cell r="AH42">
            <v>1880090</v>
          </cell>
          <cell r="AI42">
            <v>2190271</v>
          </cell>
        </row>
        <row r="43">
          <cell r="A43">
            <v>40</v>
          </cell>
          <cell r="B43" t="str">
            <v xml:space="preserve">Industrial </v>
          </cell>
          <cell r="E43">
            <v>257076</v>
          </cell>
          <cell r="F43">
            <v>511883</v>
          </cell>
          <cell r="G43">
            <v>768454</v>
          </cell>
          <cell r="H43">
            <v>997686</v>
          </cell>
          <cell r="I43">
            <v>1201454</v>
          </cell>
          <cell r="J43">
            <v>1387683</v>
          </cell>
          <cell r="K43">
            <v>1571490</v>
          </cell>
          <cell r="L43">
            <v>1752131</v>
          </cell>
          <cell r="M43">
            <v>1980401</v>
          </cell>
          <cell r="N43">
            <v>2244589</v>
          </cell>
          <cell r="O43">
            <v>2471204</v>
          </cell>
          <cell r="P43">
            <v>2750438</v>
          </cell>
          <cell r="T43">
            <v>40</v>
          </cell>
          <cell r="U43" t="str">
            <v xml:space="preserve">Industrial </v>
          </cell>
          <cell r="X43">
            <v>262292</v>
          </cell>
          <cell r="Y43">
            <v>503987</v>
          </cell>
          <cell r="Z43">
            <v>751158</v>
          </cell>
          <cell r="AA43">
            <v>968386</v>
          </cell>
          <cell r="AB43">
            <v>1172373</v>
          </cell>
          <cell r="AC43">
            <v>1343135</v>
          </cell>
          <cell r="AD43">
            <v>1519331</v>
          </cell>
          <cell r="AE43">
            <v>1708358</v>
          </cell>
          <cell r="AF43">
            <v>1940714</v>
          </cell>
          <cell r="AG43">
            <v>2173223</v>
          </cell>
          <cell r="AH43">
            <v>2384778</v>
          </cell>
          <cell r="AI43">
            <v>2655442</v>
          </cell>
        </row>
        <row r="44">
          <cell r="A44">
            <v>41</v>
          </cell>
          <cell r="B44" t="str">
            <v>Other</v>
          </cell>
          <cell r="E44">
            <v>1410</v>
          </cell>
          <cell r="F44">
            <v>3730</v>
          </cell>
          <cell r="G44">
            <v>6182</v>
          </cell>
          <cell r="H44">
            <v>12432</v>
          </cell>
          <cell r="I44">
            <v>15971</v>
          </cell>
          <cell r="J44">
            <v>24632</v>
          </cell>
          <cell r="K44">
            <v>33872</v>
          </cell>
          <cell r="L44">
            <v>45882</v>
          </cell>
          <cell r="M44">
            <v>53743</v>
          </cell>
          <cell r="N44">
            <v>61615</v>
          </cell>
          <cell r="O44">
            <v>66240</v>
          </cell>
          <cell r="P44">
            <v>70654</v>
          </cell>
          <cell r="T44">
            <v>41</v>
          </cell>
          <cell r="U44" t="str">
            <v>Other</v>
          </cell>
          <cell r="X44">
            <v>1885</v>
          </cell>
          <cell r="Y44">
            <v>3728</v>
          </cell>
          <cell r="Z44">
            <v>5450</v>
          </cell>
          <cell r="AA44">
            <v>9829</v>
          </cell>
          <cell r="AB44">
            <v>13810</v>
          </cell>
          <cell r="AC44">
            <v>21906</v>
          </cell>
          <cell r="AD44">
            <v>29092</v>
          </cell>
          <cell r="AE44">
            <v>37535</v>
          </cell>
          <cell r="AF44">
            <v>47417</v>
          </cell>
          <cell r="AG44">
            <v>57005</v>
          </cell>
          <cell r="AH44">
            <v>61341</v>
          </cell>
          <cell r="AI44">
            <v>65245</v>
          </cell>
        </row>
        <row r="45">
          <cell r="A45">
            <v>42</v>
          </cell>
          <cell r="B45" t="str">
            <v>Total customers</v>
          </cell>
          <cell r="E45">
            <v>1117845</v>
          </cell>
          <cell r="F45">
            <v>2343081</v>
          </cell>
          <cell r="G45">
            <v>3407125</v>
          </cell>
          <cell r="H45">
            <v>4124000</v>
          </cell>
          <cell r="I45">
            <v>4579083</v>
          </cell>
          <cell r="J45">
            <v>4905957</v>
          </cell>
          <cell r="K45">
            <v>5220726</v>
          </cell>
          <cell r="L45">
            <v>5525979</v>
          </cell>
          <cell r="M45">
            <v>5877882</v>
          </cell>
          <cell r="N45">
            <v>6307732</v>
          </cell>
          <cell r="O45">
            <v>6888562</v>
          </cell>
          <cell r="P45">
            <v>7821832</v>
          </cell>
          <cell r="T45">
            <v>42</v>
          </cell>
          <cell r="U45" t="str">
            <v>Total customers</v>
          </cell>
          <cell r="X45">
            <v>1014064</v>
          </cell>
          <cell r="Y45">
            <v>2079230</v>
          </cell>
          <cell r="Z45">
            <v>3045545</v>
          </cell>
          <cell r="AA45">
            <v>3727078</v>
          </cell>
          <cell r="AB45">
            <v>4160594</v>
          </cell>
          <cell r="AC45">
            <v>4472091</v>
          </cell>
          <cell r="AD45">
            <v>4768171</v>
          </cell>
          <cell r="AE45">
            <v>5083722</v>
          </cell>
          <cell r="AF45">
            <v>5442940</v>
          </cell>
          <cell r="AG45">
            <v>5846303</v>
          </cell>
          <cell r="AH45">
            <v>6397614</v>
          </cell>
          <cell r="AI45">
            <v>7337214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526590</v>
          </cell>
          <cell r="F48">
            <v>1141641</v>
          </cell>
          <cell r="G48">
            <v>1632564</v>
          </cell>
          <cell r="H48">
            <v>1924298</v>
          </cell>
          <cell r="I48">
            <v>2054864</v>
          </cell>
          <cell r="J48">
            <v>2106635</v>
          </cell>
          <cell r="K48">
            <v>2150380</v>
          </cell>
          <cell r="L48">
            <v>2192502</v>
          </cell>
          <cell r="M48">
            <v>2233611</v>
          </cell>
          <cell r="N48">
            <v>2291145</v>
          </cell>
          <cell r="O48">
            <v>2476912</v>
          </cell>
          <cell r="P48">
            <v>2857767</v>
          </cell>
          <cell r="T48">
            <v>45</v>
          </cell>
          <cell r="U48" t="str">
            <v>Residential</v>
          </cell>
          <cell r="X48">
            <v>432458</v>
          </cell>
          <cell r="Y48">
            <v>930825</v>
          </cell>
          <cell r="Z48">
            <v>1358120</v>
          </cell>
          <cell r="AA48">
            <v>1632143</v>
          </cell>
          <cell r="AB48">
            <v>1739695</v>
          </cell>
          <cell r="AC48">
            <v>1796927</v>
          </cell>
          <cell r="AD48">
            <v>1837426</v>
          </cell>
          <cell r="AE48">
            <v>1879101</v>
          </cell>
          <cell r="AF48">
            <v>1921113</v>
          </cell>
          <cell r="AG48">
            <v>1977152</v>
          </cell>
          <cell r="AH48">
            <v>2158327</v>
          </cell>
          <cell r="AI48">
            <v>2537766</v>
          </cell>
        </row>
        <row r="49">
          <cell r="A49">
            <v>46</v>
          </cell>
          <cell r="B49" t="str">
            <v>Commercial</v>
          </cell>
          <cell r="E49">
            <v>388499</v>
          </cell>
          <cell r="F49">
            <v>793496</v>
          </cell>
          <cell r="G49">
            <v>1150510</v>
          </cell>
          <cell r="H49">
            <v>1367343</v>
          </cell>
          <cell r="I49">
            <v>1498897</v>
          </cell>
          <cell r="J49">
            <v>1586975</v>
          </cell>
          <cell r="K49">
            <v>1673114</v>
          </cell>
          <cell r="L49">
            <v>1751093</v>
          </cell>
          <cell r="M49">
            <v>1833191</v>
          </cell>
          <cell r="N49">
            <v>1943681</v>
          </cell>
          <cell r="O49">
            <v>2131010</v>
          </cell>
          <cell r="P49">
            <v>2443347</v>
          </cell>
          <cell r="T49">
            <v>46</v>
          </cell>
          <cell r="U49" t="str">
            <v>Commercial</v>
          </cell>
          <cell r="X49">
            <v>345955</v>
          </cell>
          <cell r="Y49">
            <v>699452</v>
          </cell>
          <cell r="Z49">
            <v>1015608</v>
          </cell>
          <cell r="AA49">
            <v>1215226</v>
          </cell>
          <cell r="AB49">
            <v>1341067</v>
          </cell>
          <cell r="AC49">
            <v>1422560</v>
          </cell>
          <cell r="AD49">
            <v>1501557</v>
          </cell>
          <cell r="AE49">
            <v>1585575</v>
          </cell>
          <cell r="AF49">
            <v>1669238</v>
          </cell>
          <cell r="AG49">
            <v>1786044</v>
          </cell>
          <cell r="AH49">
            <v>1965949</v>
          </cell>
          <cell r="AI49">
            <v>2297622</v>
          </cell>
        </row>
        <row r="50">
          <cell r="A50">
            <v>47</v>
          </cell>
          <cell r="B50" t="str">
            <v xml:space="preserve">Industrial </v>
          </cell>
          <cell r="E50">
            <v>273747</v>
          </cell>
          <cell r="F50">
            <v>542224</v>
          </cell>
          <cell r="G50">
            <v>812473</v>
          </cell>
          <cell r="H50">
            <v>1054645</v>
          </cell>
          <cell r="I50">
            <v>1270209</v>
          </cell>
          <cell r="J50">
            <v>1467535</v>
          </cell>
          <cell r="K50">
            <v>1663666</v>
          </cell>
          <cell r="L50">
            <v>1856338</v>
          </cell>
          <cell r="M50">
            <v>2099267</v>
          </cell>
          <cell r="N50">
            <v>2380590</v>
          </cell>
          <cell r="O50">
            <v>2622443</v>
          </cell>
          <cell r="P50">
            <v>2920405</v>
          </cell>
          <cell r="T50">
            <v>47</v>
          </cell>
          <cell r="U50" t="str">
            <v xml:space="preserve">Industrial </v>
          </cell>
          <cell r="X50">
            <v>272270</v>
          </cell>
          <cell r="Y50">
            <v>522859</v>
          </cell>
          <cell r="Z50">
            <v>778997</v>
          </cell>
          <cell r="AA50">
            <v>1002703</v>
          </cell>
          <cell r="AB50">
            <v>1213785</v>
          </cell>
          <cell r="AC50">
            <v>1392382</v>
          </cell>
          <cell r="AD50">
            <v>1579206</v>
          </cell>
          <cell r="AE50">
            <v>1780418</v>
          </cell>
          <cell r="AF50">
            <v>2030045</v>
          </cell>
          <cell r="AG50">
            <v>2279248</v>
          </cell>
          <cell r="AH50">
            <v>2506987</v>
          </cell>
          <cell r="AI50">
            <v>2796405</v>
          </cell>
        </row>
        <row r="51">
          <cell r="A51">
            <v>48</v>
          </cell>
          <cell r="B51" t="str">
            <v>Other</v>
          </cell>
          <cell r="E51">
            <v>1501</v>
          </cell>
          <cell r="F51">
            <v>3945</v>
          </cell>
          <cell r="G51">
            <v>6528</v>
          </cell>
          <cell r="H51">
            <v>13131</v>
          </cell>
          <cell r="I51">
            <v>16875</v>
          </cell>
          <cell r="J51">
            <v>26052</v>
          </cell>
          <cell r="K51">
            <v>35912</v>
          </cell>
          <cell r="L51">
            <v>48722</v>
          </cell>
          <cell r="M51">
            <v>57088</v>
          </cell>
          <cell r="N51">
            <v>65471</v>
          </cell>
          <cell r="O51">
            <v>70407</v>
          </cell>
          <cell r="P51">
            <v>75117</v>
          </cell>
          <cell r="T51">
            <v>48</v>
          </cell>
          <cell r="U51" t="str">
            <v>Other</v>
          </cell>
          <cell r="X51">
            <v>1957</v>
          </cell>
          <cell r="Y51">
            <v>3868</v>
          </cell>
          <cell r="Z51">
            <v>5652</v>
          </cell>
          <cell r="AA51">
            <v>10162</v>
          </cell>
          <cell r="AB51">
            <v>14281</v>
          </cell>
          <cell r="AC51">
            <v>22748</v>
          </cell>
          <cell r="AD51">
            <v>30367</v>
          </cell>
          <cell r="AE51">
            <v>39354</v>
          </cell>
          <cell r="AF51">
            <v>49971</v>
          </cell>
          <cell r="AG51">
            <v>60247</v>
          </cell>
          <cell r="AH51">
            <v>64915</v>
          </cell>
          <cell r="AI51">
            <v>69090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1190337</v>
          </cell>
          <cell r="F52">
            <v>2481306</v>
          </cell>
          <cell r="G52">
            <v>3602075</v>
          </cell>
          <cell r="H52">
            <v>4359417</v>
          </cell>
          <cell r="I52">
            <v>4840845</v>
          </cell>
          <cell r="J52">
            <v>5187197</v>
          </cell>
          <cell r="K52">
            <v>5523072</v>
          </cell>
          <cell r="L52">
            <v>5848655</v>
          </cell>
          <cell r="M52">
            <v>6223157</v>
          </cell>
          <cell r="N52">
            <v>6680887</v>
          </cell>
          <cell r="O52">
            <v>7300772</v>
          </cell>
          <cell r="P52">
            <v>8296636</v>
          </cell>
          <cell r="T52">
            <v>49</v>
          </cell>
          <cell r="U52" t="str">
            <v>Total Volume</v>
          </cell>
          <cell r="W52">
            <v>0</v>
          </cell>
          <cell r="X52">
            <v>1052640</v>
          </cell>
          <cell r="Y52">
            <v>2157004</v>
          </cell>
          <cell r="Z52">
            <v>3158377</v>
          </cell>
          <cell r="AA52">
            <v>3860234</v>
          </cell>
          <cell r="AB52">
            <v>4308828</v>
          </cell>
          <cell r="AC52">
            <v>4634617</v>
          </cell>
          <cell r="AD52">
            <v>4948556</v>
          </cell>
          <cell r="AE52">
            <v>5284448</v>
          </cell>
          <cell r="AF52">
            <v>5670367</v>
          </cell>
          <cell r="AG52">
            <v>6102691</v>
          </cell>
          <cell r="AH52">
            <v>6696178</v>
          </cell>
          <cell r="AI52">
            <v>7700883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44725</v>
          </cell>
          <cell r="F55">
            <v>44823</v>
          </cell>
          <cell r="G55">
            <v>44910</v>
          </cell>
          <cell r="H55">
            <v>44974</v>
          </cell>
          <cell r="I55">
            <v>44992</v>
          </cell>
          <cell r="J55">
            <v>44997</v>
          </cell>
          <cell r="K55">
            <v>44985</v>
          </cell>
          <cell r="L55">
            <v>44985</v>
          </cell>
          <cell r="M55">
            <v>45007</v>
          </cell>
          <cell r="N55">
            <v>45139</v>
          </cell>
          <cell r="O55">
            <v>45322</v>
          </cell>
          <cell r="P55">
            <v>45509</v>
          </cell>
        </row>
        <row r="56">
          <cell r="A56">
            <v>53</v>
          </cell>
          <cell r="B56" t="str">
            <v>Cumulative Budget YTD Volume (Mcfs)</v>
          </cell>
          <cell r="E56">
            <v>1118516</v>
          </cell>
          <cell r="F56">
            <v>2231002</v>
          </cell>
          <cell r="G56">
            <v>3191396</v>
          </cell>
          <cell r="H56">
            <v>3864470</v>
          </cell>
          <cell r="I56">
            <v>4303430</v>
          </cell>
          <cell r="J56">
            <v>4669038</v>
          </cell>
          <cell r="K56">
            <v>4977374</v>
          </cell>
          <cell r="L56">
            <v>5323948</v>
          </cell>
          <cell r="M56">
            <v>5681994</v>
          </cell>
          <cell r="N56">
            <v>6093738</v>
          </cell>
          <cell r="O56">
            <v>6745140</v>
          </cell>
          <cell r="P56">
            <v>7622790</v>
          </cell>
        </row>
        <row r="57">
          <cell r="A57">
            <v>54</v>
          </cell>
          <cell r="B57" t="str">
            <v>Cumulative YTD Budget Volume (Dts) * 1.035</v>
          </cell>
          <cell r="E57">
            <v>1157664.0599999998</v>
          </cell>
          <cell r="F57">
            <v>2309087.0699999998</v>
          </cell>
          <cell r="G57">
            <v>3303094.86</v>
          </cell>
          <cell r="H57">
            <v>3999726.4499999997</v>
          </cell>
          <cell r="I57">
            <v>4454050.05</v>
          </cell>
          <cell r="J57">
            <v>4832454.33</v>
          </cell>
          <cell r="K57">
            <v>5151582.09</v>
          </cell>
          <cell r="L57">
            <v>5510286.1799999997</v>
          </cell>
          <cell r="M57">
            <v>5880863.79</v>
          </cell>
          <cell r="N57">
            <v>6307018.8300000001</v>
          </cell>
          <cell r="O57">
            <v>6981219.9000000004</v>
          </cell>
          <cell r="P57">
            <v>7889587.6500000004</v>
          </cell>
        </row>
      </sheetData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14411.666666666666</v>
          </cell>
          <cell r="E5">
            <v>14264</v>
          </cell>
          <cell r="F5">
            <v>14361</v>
          </cell>
          <cell r="G5">
            <v>14422</v>
          </cell>
          <cell r="H5">
            <v>14487</v>
          </cell>
          <cell r="I5">
            <v>14403</v>
          </cell>
          <cell r="J5">
            <v>14270</v>
          </cell>
          <cell r="K5">
            <v>14288</v>
          </cell>
          <cell r="L5">
            <v>14361</v>
          </cell>
          <cell r="M5">
            <v>14420</v>
          </cell>
          <cell r="N5">
            <v>14459</v>
          </cell>
          <cell r="O5">
            <v>14539</v>
          </cell>
          <cell r="P5">
            <v>14666</v>
          </cell>
          <cell r="T5">
            <v>2</v>
          </cell>
          <cell r="U5" t="str">
            <v>Residential</v>
          </cell>
          <cell r="V5">
            <v>13970</v>
          </cell>
          <cell r="W5">
            <v>167635</v>
          </cell>
          <cell r="X5">
            <v>13904</v>
          </cell>
          <cell r="Y5">
            <v>13967</v>
          </cell>
          <cell r="Z5">
            <v>14008</v>
          </cell>
          <cell r="AA5">
            <v>14078</v>
          </cell>
          <cell r="AB5">
            <v>13896</v>
          </cell>
          <cell r="AC5">
            <v>13948</v>
          </cell>
          <cell r="AD5">
            <v>13919</v>
          </cell>
          <cell r="AE5">
            <v>13937</v>
          </cell>
          <cell r="AF5">
            <v>13896</v>
          </cell>
          <cell r="AG5">
            <v>13941</v>
          </cell>
          <cell r="AH5">
            <v>14014</v>
          </cell>
          <cell r="AI5">
            <v>14127</v>
          </cell>
        </row>
        <row r="6">
          <cell r="A6">
            <v>3</v>
          </cell>
          <cell r="B6" t="str">
            <v>Commercial</v>
          </cell>
          <cell r="D6">
            <v>1362.6666666666667</v>
          </cell>
          <cell r="E6">
            <v>1349</v>
          </cell>
          <cell r="F6">
            <v>1335</v>
          </cell>
          <cell r="G6">
            <v>1354</v>
          </cell>
          <cell r="H6">
            <v>1400</v>
          </cell>
          <cell r="I6">
            <v>1357</v>
          </cell>
          <cell r="J6">
            <v>1331</v>
          </cell>
          <cell r="K6">
            <v>1333</v>
          </cell>
          <cell r="L6">
            <v>1386</v>
          </cell>
          <cell r="M6">
            <v>1422</v>
          </cell>
          <cell r="N6">
            <v>1380</v>
          </cell>
          <cell r="O6">
            <v>1352</v>
          </cell>
          <cell r="P6">
            <v>1353</v>
          </cell>
          <cell r="T6">
            <v>3</v>
          </cell>
          <cell r="U6" t="str">
            <v>Commercial</v>
          </cell>
          <cell r="V6">
            <v>1299</v>
          </cell>
          <cell r="W6">
            <v>15585</v>
          </cell>
          <cell r="X6">
            <v>1275</v>
          </cell>
          <cell r="Y6">
            <v>1268</v>
          </cell>
          <cell r="Z6">
            <v>1281</v>
          </cell>
          <cell r="AA6">
            <v>1297</v>
          </cell>
          <cell r="AB6">
            <v>1295</v>
          </cell>
          <cell r="AC6">
            <v>1290</v>
          </cell>
          <cell r="AD6">
            <v>1303</v>
          </cell>
          <cell r="AE6">
            <v>1291</v>
          </cell>
          <cell r="AF6">
            <v>1315</v>
          </cell>
          <cell r="AG6">
            <v>1312</v>
          </cell>
          <cell r="AH6">
            <v>1324</v>
          </cell>
          <cell r="AI6">
            <v>1334</v>
          </cell>
        </row>
        <row r="7">
          <cell r="A7">
            <v>4</v>
          </cell>
          <cell r="B7" t="str">
            <v xml:space="preserve">Industrial </v>
          </cell>
          <cell r="D7">
            <v>60.416666666666664</v>
          </cell>
          <cell r="E7">
            <v>59</v>
          </cell>
          <cell r="F7">
            <v>66</v>
          </cell>
          <cell r="G7">
            <v>58</v>
          </cell>
          <cell r="H7">
            <v>58</v>
          </cell>
          <cell r="I7">
            <v>59</v>
          </cell>
          <cell r="J7">
            <v>59</v>
          </cell>
          <cell r="K7">
            <v>59</v>
          </cell>
          <cell r="L7">
            <v>60</v>
          </cell>
          <cell r="M7">
            <v>59</v>
          </cell>
          <cell r="N7">
            <v>61</v>
          </cell>
          <cell r="O7">
            <v>60</v>
          </cell>
          <cell r="P7">
            <v>67</v>
          </cell>
          <cell r="T7">
            <v>4</v>
          </cell>
          <cell r="U7" t="str">
            <v xml:space="preserve">Industrial </v>
          </cell>
          <cell r="V7">
            <v>58</v>
          </cell>
          <cell r="W7">
            <v>701</v>
          </cell>
          <cell r="X7">
            <v>57</v>
          </cell>
          <cell r="Y7">
            <v>60</v>
          </cell>
          <cell r="Z7">
            <v>58</v>
          </cell>
          <cell r="AA7">
            <v>56</v>
          </cell>
          <cell r="AB7">
            <v>57</v>
          </cell>
          <cell r="AC7">
            <v>55</v>
          </cell>
          <cell r="AD7">
            <v>58</v>
          </cell>
          <cell r="AE7">
            <v>58</v>
          </cell>
          <cell r="AF7">
            <v>63</v>
          </cell>
          <cell r="AG7">
            <v>62</v>
          </cell>
          <cell r="AH7">
            <v>59</v>
          </cell>
          <cell r="AI7">
            <v>58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15834.749999999998</v>
          </cell>
          <cell r="E9">
            <v>15672</v>
          </cell>
          <cell r="F9">
            <v>15762</v>
          </cell>
          <cell r="G9">
            <v>15834</v>
          </cell>
          <cell r="H9">
            <v>15945</v>
          </cell>
          <cell r="I9">
            <v>15819</v>
          </cell>
          <cell r="J9">
            <v>15660</v>
          </cell>
          <cell r="K9">
            <v>15680</v>
          </cell>
          <cell r="L9">
            <v>15807</v>
          </cell>
          <cell r="M9">
            <v>15901</v>
          </cell>
          <cell r="N9">
            <v>15900</v>
          </cell>
          <cell r="O9">
            <v>15951</v>
          </cell>
          <cell r="P9">
            <v>16086</v>
          </cell>
          <cell r="T9">
            <v>6</v>
          </cell>
          <cell r="U9" t="str">
            <v>Total customers</v>
          </cell>
          <cell r="V9">
            <v>15327</v>
          </cell>
          <cell r="W9">
            <v>183921</v>
          </cell>
          <cell r="X9">
            <v>15236</v>
          </cell>
          <cell r="Y9">
            <v>15295</v>
          </cell>
          <cell r="Z9">
            <v>15347</v>
          </cell>
          <cell r="AA9">
            <v>15431</v>
          </cell>
          <cell r="AB9">
            <v>15248</v>
          </cell>
          <cell r="AC9">
            <v>15293</v>
          </cell>
          <cell r="AD9">
            <v>15280</v>
          </cell>
          <cell r="AE9">
            <v>15286</v>
          </cell>
          <cell r="AF9">
            <v>15274</v>
          </cell>
          <cell r="AG9">
            <v>15315</v>
          </cell>
          <cell r="AH9">
            <v>15397</v>
          </cell>
          <cell r="AI9">
            <v>15519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333709.19875352998</v>
          </cell>
          <cell r="E12">
            <v>52421</v>
          </cell>
          <cell r="F12">
            <v>42274</v>
          </cell>
          <cell r="G12">
            <v>38382</v>
          </cell>
          <cell r="H12">
            <v>34621</v>
          </cell>
          <cell r="I12">
            <v>19983.737462265068</v>
          </cell>
          <cell r="J12">
            <v>16444.152303048009</v>
          </cell>
          <cell r="K12">
            <v>15428.863569967863</v>
          </cell>
          <cell r="L12">
            <v>14254.649917226605</v>
          </cell>
          <cell r="M12">
            <v>14134.190281429544</v>
          </cell>
          <cell r="N12">
            <v>18694.225338397118</v>
          </cell>
          <cell r="O12">
            <v>27284.253578732107</v>
          </cell>
          <cell r="P12">
            <v>39787.126302463723</v>
          </cell>
          <cell r="T12">
            <v>9</v>
          </cell>
          <cell r="U12" t="str">
            <v>Residential</v>
          </cell>
          <cell r="W12">
            <v>316364</v>
          </cell>
          <cell r="X12">
            <v>39919</v>
          </cell>
          <cell r="Y12">
            <v>37934</v>
          </cell>
          <cell r="Z12">
            <v>45662</v>
          </cell>
          <cell r="AA12">
            <v>32252</v>
          </cell>
          <cell r="AB12">
            <v>18736</v>
          </cell>
          <cell r="AC12">
            <v>18998</v>
          </cell>
          <cell r="AD12">
            <v>17088</v>
          </cell>
          <cell r="AE12">
            <v>21701</v>
          </cell>
          <cell r="AF12">
            <v>13606</v>
          </cell>
          <cell r="AG12">
            <v>17652</v>
          </cell>
          <cell r="AH12">
            <v>23099</v>
          </cell>
          <cell r="AI12">
            <v>29717</v>
          </cell>
        </row>
        <row r="13">
          <cell r="A13">
            <v>10</v>
          </cell>
          <cell r="B13" t="str">
            <v>Commercial</v>
          </cell>
          <cell r="D13">
            <v>1672129.6133995519</v>
          </cell>
          <cell r="E13">
            <v>150373</v>
          </cell>
          <cell r="F13">
            <v>118901</v>
          </cell>
          <cell r="G13">
            <v>125797</v>
          </cell>
          <cell r="H13">
            <v>117929</v>
          </cell>
          <cell r="I13">
            <v>101835.42701334112</v>
          </cell>
          <cell r="J13">
            <v>95135.35884701529</v>
          </cell>
          <cell r="K13">
            <v>93005.453306066804</v>
          </cell>
          <cell r="L13">
            <v>93702.989580290188</v>
          </cell>
          <cell r="M13">
            <v>96572.402376083352</v>
          </cell>
          <cell r="N13">
            <v>111335.57308403934</v>
          </cell>
          <cell r="O13">
            <v>124072.25630538513</v>
          </cell>
          <cell r="P13">
            <v>443470.1528873308</v>
          </cell>
          <cell r="T13">
            <v>10</v>
          </cell>
          <cell r="U13" t="str">
            <v>Commercial</v>
          </cell>
          <cell r="W13">
            <v>1334510</v>
          </cell>
          <cell r="X13">
            <v>121886</v>
          </cell>
          <cell r="Y13">
            <v>118801</v>
          </cell>
          <cell r="Z13">
            <v>157580</v>
          </cell>
          <cell r="AA13">
            <v>107264</v>
          </cell>
          <cell r="AB13">
            <v>109250</v>
          </cell>
          <cell r="AC13">
            <v>96897</v>
          </cell>
          <cell r="AD13">
            <v>102786</v>
          </cell>
          <cell r="AE13">
            <v>89318</v>
          </cell>
          <cell r="AF13">
            <v>92787</v>
          </cell>
          <cell r="AG13">
            <v>100579</v>
          </cell>
          <cell r="AH13">
            <v>114589</v>
          </cell>
          <cell r="AI13">
            <v>122773</v>
          </cell>
        </row>
        <row r="14">
          <cell r="A14">
            <v>11</v>
          </cell>
          <cell r="B14" t="str">
            <v xml:space="preserve">Industrial </v>
          </cell>
          <cell r="D14">
            <v>12287960.11305872</v>
          </cell>
          <cell r="E14">
            <v>1372708</v>
          </cell>
          <cell r="F14">
            <v>1162258</v>
          </cell>
          <cell r="G14">
            <v>1095519</v>
          </cell>
          <cell r="H14">
            <v>1026944</v>
          </cell>
          <cell r="I14">
            <v>1262141.0069140131</v>
          </cell>
          <cell r="J14">
            <v>927210.24442496838</v>
          </cell>
          <cell r="K14">
            <v>979240.33498880127</v>
          </cell>
          <cell r="L14">
            <v>974914.59733177524</v>
          </cell>
          <cell r="M14">
            <v>801969.61729477067</v>
          </cell>
          <cell r="N14">
            <v>773025.12416009349</v>
          </cell>
          <cell r="O14">
            <v>947745.44746323884</v>
          </cell>
          <cell r="P14">
            <v>964284.74048105953</v>
          </cell>
          <cell r="T14">
            <v>11</v>
          </cell>
          <cell r="U14" t="str">
            <v xml:space="preserve">Industrial </v>
          </cell>
          <cell r="W14">
            <v>13102297</v>
          </cell>
          <cell r="X14">
            <v>1310137</v>
          </cell>
          <cell r="Y14">
            <v>1163770</v>
          </cell>
          <cell r="Z14">
            <v>1340307</v>
          </cell>
          <cell r="AA14">
            <v>1215623</v>
          </cell>
          <cell r="AB14">
            <v>1342379</v>
          </cell>
          <cell r="AC14">
            <v>1064231</v>
          </cell>
          <cell r="AD14">
            <v>951110</v>
          </cell>
          <cell r="AE14">
            <v>1070453</v>
          </cell>
          <cell r="AF14">
            <v>723497</v>
          </cell>
          <cell r="AG14">
            <v>923173</v>
          </cell>
          <cell r="AH14">
            <v>863966</v>
          </cell>
          <cell r="AI14">
            <v>1133651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D16">
            <v>14293798.925211802</v>
          </cell>
          <cell r="E16">
            <v>1575502</v>
          </cell>
          <cell r="F16">
            <v>1323433</v>
          </cell>
          <cell r="G16">
            <v>1259698</v>
          </cell>
          <cell r="H16">
            <v>1179494</v>
          </cell>
          <cell r="I16">
            <v>1383960.1713896194</v>
          </cell>
          <cell r="J16">
            <v>1038789.7555750317</v>
          </cell>
          <cell r="K16">
            <v>1087674.651864836</v>
          </cell>
          <cell r="L16">
            <v>1082872.236829292</v>
          </cell>
          <cell r="M16">
            <v>912676.20995228353</v>
          </cell>
          <cell r="N16">
            <v>903054.92258252995</v>
          </cell>
          <cell r="O16">
            <v>1099101.957347356</v>
          </cell>
          <cell r="P16">
            <v>1447542.0196708541</v>
          </cell>
          <cell r="T16">
            <v>13</v>
          </cell>
          <cell r="U16" t="str">
            <v>Total Deliveries</v>
          </cell>
          <cell r="W16">
            <v>14753171</v>
          </cell>
          <cell r="X16">
            <v>1471942</v>
          </cell>
          <cell r="Y16">
            <v>1320505</v>
          </cell>
          <cell r="Z16">
            <v>1543549</v>
          </cell>
          <cell r="AA16">
            <v>1355139</v>
          </cell>
          <cell r="AB16">
            <v>1470365</v>
          </cell>
          <cell r="AC16">
            <v>1180126</v>
          </cell>
          <cell r="AD16">
            <v>1070984</v>
          </cell>
          <cell r="AE16">
            <v>1181472</v>
          </cell>
          <cell r="AF16">
            <v>829890</v>
          </cell>
          <cell r="AG16">
            <v>1041404</v>
          </cell>
          <cell r="AH16">
            <v>1001654</v>
          </cell>
          <cell r="AI16">
            <v>1286141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342684</v>
          </cell>
          <cell r="E21">
            <v>53831</v>
          </cell>
          <cell r="F21">
            <v>43411</v>
          </cell>
          <cell r="G21">
            <v>39414</v>
          </cell>
          <cell r="H21">
            <v>35552</v>
          </cell>
          <cell r="I21">
            <v>20521</v>
          </cell>
          <cell r="J21">
            <v>16887</v>
          </cell>
          <cell r="K21">
            <v>15844</v>
          </cell>
          <cell r="L21">
            <v>14638</v>
          </cell>
          <cell r="M21">
            <v>14514</v>
          </cell>
          <cell r="N21">
            <v>19197</v>
          </cell>
          <cell r="O21">
            <v>28018</v>
          </cell>
          <cell r="P21">
            <v>40857</v>
          </cell>
          <cell r="T21">
            <v>18</v>
          </cell>
          <cell r="U21" t="str">
            <v>Residential</v>
          </cell>
          <cell r="W21">
            <v>324874</v>
          </cell>
          <cell r="X21">
            <v>40993</v>
          </cell>
          <cell r="Y21">
            <v>38954</v>
          </cell>
          <cell r="Z21">
            <v>46890</v>
          </cell>
          <cell r="AA21">
            <v>33120</v>
          </cell>
          <cell r="AB21">
            <v>19240</v>
          </cell>
          <cell r="AC21">
            <v>19509</v>
          </cell>
          <cell r="AD21">
            <v>17548</v>
          </cell>
          <cell r="AE21">
            <v>22285</v>
          </cell>
          <cell r="AF21">
            <v>13972</v>
          </cell>
          <cell r="AG21">
            <v>18127</v>
          </cell>
          <cell r="AH21">
            <v>23720</v>
          </cell>
          <cell r="AI21">
            <v>30516</v>
          </cell>
        </row>
        <row r="22">
          <cell r="A22">
            <v>19</v>
          </cell>
          <cell r="B22" t="str">
            <v>Commercial</v>
          </cell>
          <cell r="D22">
            <v>1717111</v>
          </cell>
          <cell r="E22">
            <v>154418</v>
          </cell>
          <cell r="F22">
            <v>122099</v>
          </cell>
          <cell r="G22">
            <v>129181</v>
          </cell>
          <cell r="H22">
            <v>121101</v>
          </cell>
          <cell r="I22">
            <v>104575</v>
          </cell>
          <cell r="J22">
            <v>97695</v>
          </cell>
          <cell r="K22">
            <v>95507</v>
          </cell>
          <cell r="L22">
            <v>96224</v>
          </cell>
          <cell r="M22">
            <v>99170</v>
          </cell>
          <cell r="N22">
            <v>114331</v>
          </cell>
          <cell r="O22">
            <v>127410</v>
          </cell>
          <cell r="P22">
            <v>455400</v>
          </cell>
          <cell r="T22">
            <v>19</v>
          </cell>
          <cell r="U22" t="str">
            <v>Commercial</v>
          </cell>
          <cell r="W22">
            <v>1370410</v>
          </cell>
          <cell r="X22">
            <v>125165</v>
          </cell>
          <cell r="Y22">
            <v>121997</v>
          </cell>
          <cell r="Z22">
            <v>161819</v>
          </cell>
          <cell r="AA22">
            <v>110149</v>
          </cell>
          <cell r="AB22">
            <v>112189</v>
          </cell>
          <cell r="AC22">
            <v>99504</v>
          </cell>
          <cell r="AD22">
            <v>105551</v>
          </cell>
          <cell r="AE22">
            <v>91721</v>
          </cell>
          <cell r="AF22">
            <v>95283</v>
          </cell>
          <cell r="AG22">
            <v>103285</v>
          </cell>
          <cell r="AH22">
            <v>117671</v>
          </cell>
          <cell r="AI22">
            <v>126076</v>
          </cell>
        </row>
        <row r="23">
          <cell r="A23">
            <v>20</v>
          </cell>
          <cell r="B23" t="str">
            <v xml:space="preserve">Industrial </v>
          </cell>
          <cell r="D23">
            <v>12618508</v>
          </cell>
          <cell r="E23">
            <v>1409634</v>
          </cell>
          <cell r="F23">
            <v>1193523</v>
          </cell>
          <cell r="G23">
            <v>1124988</v>
          </cell>
          <cell r="H23">
            <v>1054569</v>
          </cell>
          <cell r="I23">
            <v>1296093</v>
          </cell>
          <cell r="J23">
            <v>952152</v>
          </cell>
          <cell r="K23">
            <v>1005582</v>
          </cell>
          <cell r="L23">
            <v>1001140</v>
          </cell>
          <cell r="M23">
            <v>823543</v>
          </cell>
          <cell r="N23">
            <v>793820</v>
          </cell>
          <cell r="O23">
            <v>973240</v>
          </cell>
          <cell r="P23">
            <v>990224</v>
          </cell>
          <cell r="T23">
            <v>20</v>
          </cell>
          <cell r="U23" t="str">
            <v xml:space="preserve">Industrial </v>
          </cell>
          <cell r="W23">
            <v>13454748</v>
          </cell>
          <cell r="X23">
            <v>1345380</v>
          </cell>
          <cell r="Y23">
            <v>1195075</v>
          </cell>
          <cell r="Z23">
            <v>1376361</v>
          </cell>
          <cell r="AA23">
            <v>1248323</v>
          </cell>
          <cell r="AB23">
            <v>1378489</v>
          </cell>
          <cell r="AC23">
            <v>1092859</v>
          </cell>
          <cell r="AD23">
            <v>976695</v>
          </cell>
          <cell r="AE23">
            <v>1099248</v>
          </cell>
          <cell r="AF23">
            <v>742959</v>
          </cell>
          <cell r="AG23">
            <v>948006</v>
          </cell>
          <cell r="AH23">
            <v>887207</v>
          </cell>
          <cell r="AI23">
            <v>1164146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14678303</v>
          </cell>
          <cell r="E25">
            <v>1617883</v>
          </cell>
          <cell r="F25">
            <v>1359033</v>
          </cell>
          <cell r="G25">
            <v>1293583</v>
          </cell>
          <cell r="H25">
            <v>1211222</v>
          </cell>
          <cell r="I25">
            <v>1421189</v>
          </cell>
          <cell r="J25">
            <v>1066734</v>
          </cell>
          <cell r="K25">
            <v>1116933</v>
          </cell>
          <cell r="L25">
            <v>1112002</v>
          </cell>
          <cell r="M25">
            <v>937227</v>
          </cell>
          <cell r="N25">
            <v>927348</v>
          </cell>
          <cell r="O25">
            <v>1128668</v>
          </cell>
          <cell r="P25">
            <v>1486481</v>
          </cell>
          <cell r="T25">
            <v>22</v>
          </cell>
          <cell r="U25" t="str">
            <v>Total Deliveries</v>
          </cell>
          <cell r="W25">
            <v>15150032</v>
          </cell>
          <cell r="X25">
            <v>1511538</v>
          </cell>
          <cell r="Y25">
            <v>1356026</v>
          </cell>
          <cell r="Z25">
            <v>1585070</v>
          </cell>
          <cell r="AA25">
            <v>1391592</v>
          </cell>
          <cell r="AB25">
            <v>1509918</v>
          </cell>
          <cell r="AC25">
            <v>1211872</v>
          </cell>
          <cell r="AD25">
            <v>1099794</v>
          </cell>
          <cell r="AE25">
            <v>1213254</v>
          </cell>
          <cell r="AF25">
            <v>852214</v>
          </cell>
          <cell r="AG25">
            <v>1069418</v>
          </cell>
          <cell r="AH25">
            <v>1028598</v>
          </cell>
          <cell r="AI25">
            <v>1320738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15357</v>
          </cell>
          <cell r="F28">
            <v>15419</v>
          </cell>
          <cell r="G28">
            <v>15473</v>
          </cell>
          <cell r="H28">
            <v>15559</v>
          </cell>
          <cell r="I28">
            <v>15377</v>
          </cell>
          <cell r="J28">
            <v>15422</v>
          </cell>
          <cell r="K28">
            <v>15086</v>
          </cell>
          <cell r="L28">
            <v>15123</v>
          </cell>
          <cell r="M28">
            <v>15103</v>
          </cell>
          <cell r="N28">
            <v>15137</v>
          </cell>
          <cell r="O28">
            <v>15294</v>
          </cell>
          <cell r="P28">
            <v>15345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1465717</v>
          </cell>
          <cell r="F29">
            <v>1348223</v>
          </cell>
          <cell r="G29">
            <v>1540057</v>
          </cell>
          <cell r="H29">
            <v>1300604</v>
          </cell>
          <cell r="I29">
            <v>1519650</v>
          </cell>
          <cell r="J29">
            <v>1203619</v>
          </cell>
          <cell r="K29">
            <v>1058233</v>
          </cell>
          <cell r="L29">
            <v>1184460</v>
          </cell>
          <cell r="M29">
            <v>972146</v>
          </cell>
          <cell r="N29">
            <v>1060697</v>
          </cell>
          <cell r="O29">
            <v>1226308</v>
          </cell>
          <cell r="P29">
            <v>1488083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1505145</v>
          </cell>
          <cell r="F30">
            <v>1384490</v>
          </cell>
          <cell r="G30">
            <v>1581485</v>
          </cell>
          <cell r="H30">
            <v>1335590</v>
          </cell>
          <cell r="I30">
            <v>1560529</v>
          </cell>
          <cell r="J30">
            <v>1235996</v>
          </cell>
          <cell r="K30">
            <v>1086699</v>
          </cell>
          <cell r="L30">
            <v>1216322</v>
          </cell>
          <cell r="M30">
            <v>998297</v>
          </cell>
          <cell r="N30">
            <v>1089230</v>
          </cell>
          <cell r="O30">
            <v>1259296</v>
          </cell>
          <cell r="P30">
            <v>1528112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14264</v>
          </cell>
          <cell r="F34">
            <v>14313</v>
          </cell>
          <cell r="G34">
            <v>14349</v>
          </cell>
          <cell r="H34">
            <v>14384</v>
          </cell>
          <cell r="I34">
            <v>14387</v>
          </cell>
          <cell r="J34">
            <v>14368</v>
          </cell>
          <cell r="K34">
            <v>14356</v>
          </cell>
          <cell r="L34">
            <v>14357</v>
          </cell>
          <cell r="M34">
            <v>14364</v>
          </cell>
          <cell r="N34">
            <v>14374</v>
          </cell>
          <cell r="O34">
            <v>14389</v>
          </cell>
          <cell r="P34">
            <v>14412</v>
          </cell>
          <cell r="T34">
            <v>31</v>
          </cell>
          <cell r="U34" t="str">
            <v>Residential</v>
          </cell>
          <cell r="X34">
            <v>13904</v>
          </cell>
          <cell r="Y34">
            <v>13936</v>
          </cell>
          <cell r="Z34">
            <v>13960</v>
          </cell>
          <cell r="AA34">
            <v>13989</v>
          </cell>
          <cell r="AB34">
            <v>13971</v>
          </cell>
          <cell r="AC34">
            <v>13967</v>
          </cell>
          <cell r="AD34">
            <v>13960</v>
          </cell>
          <cell r="AE34">
            <v>13957</v>
          </cell>
          <cell r="AF34">
            <v>13950</v>
          </cell>
          <cell r="AG34">
            <v>13949</v>
          </cell>
          <cell r="AH34">
            <v>13955</v>
          </cell>
          <cell r="AI34">
            <v>13970</v>
          </cell>
        </row>
        <row r="35">
          <cell r="A35">
            <v>32</v>
          </cell>
          <cell r="B35" t="str">
            <v>Commercial</v>
          </cell>
          <cell r="E35">
            <v>1349</v>
          </cell>
          <cell r="F35">
            <v>1342</v>
          </cell>
          <cell r="G35">
            <v>1346</v>
          </cell>
          <cell r="H35">
            <v>1360</v>
          </cell>
          <cell r="I35">
            <v>1359</v>
          </cell>
          <cell r="J35">
            <v>1354</v>
          </cell>
          <cell r="K35">
            <v>1351</v>
          </cell>
          <cell r="L35">
            <v>1356</v>
          </cell>
          <cell r="M35">
            <v>1363</v>
          </cell>
          <cell r="N35">
            <v>1365</v>
          </cell>
          <cell r="O35">
            <v>1364</v>
          </cell>
          <cell r="P35">
            <v>1363</v>
          </cell>
          <cell r="T35">
            <v>32</v>
          </cell>
          <cell r="U35" t="str">
            <v>Commercial</v>
          </cell>
          <cell r="X35">
            <v>1275</v>
          </cell>
          <cell r="Y35">
            <v>1272</v>
          </cell>
          <cell r="Z35">
            <v>1275</v>
          </cell>
          <cell r="AA35">
            <v>1280</v>
          </cell>
          <cell r="AB35">
            <v>1283</v>
          </cell>
          <cell r="AC35">
            <v>1284</v>
          </cell>
          <cell r="AD35">
            <v>1287</v>
          </cell>
          <cell r="AE35">
            <v>1288</v>
          </cell>
          <cell r="AF35">
            <v>1291</v>
          </cell>
          <cell r="AG35">
            <v>1293</v>
          </cell>
          <cell r="AH35">
            <v>1296</v>
          </cell>
          <cell r="AI35">
            <v>1299</v>
          </cell>
        </row>
        <row r="36">
          <cell r="A36">
            <v>33</v>
          </cell>
          <cell r="B36" t="str">
            <v xml:space="preserve">Industrial </v>
          </cell>
          <cell r="E36">
            <v>59</v>
          </cell>
          <cell r="F36">
            <v>63</v>
          </cell>
          <cell r="G36">
            <v>61</v>
          </cell>
          <cell r="H36">
            <v>60</v>
          </cell>
          <cell r="I36">
            <v>60</v>
          </cell>
          <cell r="J36">
            <v>60</v>
          </cell>
          <cell r="K36">
            <v>60</v>
          </cell>
          <cell r="L36">
            <v>60</v>
          </cell>
          <cell r="M36">
            <v>60</v>
          </cell>
          <cell r="N36">
            <v>60</v>
          </cell>
          <cell r="O36">
            <v>60</v>
          </cell>
          <cell r="P36">
            <v>60</v>
          </cell>
          <cell r="T36">
            <v>33</v>
          </cell>
          <cell r="U36" t="str">
            <v xml:space="preserve">Industrial </v>
          </cell>
          <cell r="X36">
            <v>57</v>
          </cell>
          <cell r="Y36">
            <v>59</v>
          </cell>
          <cell r="Z36">
            <v>58</v>
          </cell>
          <cell r="AA36">
            <v>58</v>
          </cell>
          <cell r="AB36">
            <v>58</v>
          </cell>
          <cell r="AC36">
            <v>57</v>
          </cell>
          <cell r="AD36">
            <v>57</v>
          </cell>
          <cell r="AE36">
            <v>57</v>
          </cell>
          <cell r="AF36">
            <v>58</v>
          </cell>
          <cell r="AG36">
            <v>58</v>
          </cell>
          <cell r="AH36">
            <v>58</v>
          </cell>
          <cell r="AI36">
            <v>58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15672</v>
          </cell>
          <cell r="F38">
            <v>15718</v>
          </cell>
          <cell r="G38">
            <v>15756</v>
          </cell>
          <cell r="H38">
            <v>15804</v>
          </cell>
          <cell r="I38">
            <v>15806</v>
          </cell>
          <cell r="J38">
            <v>15782</v>
          </cell>
          <cell r="K38">
            <v>15767</v>
          </cell>
          <cell r="L38">
            <v>15773</v>
          </cell>
          <cell r="M38">
            <v>15787</v>
          </cell>
          <cell r="N38">
            <v>15799</v>
          </cell>
          <cell r="O38">
            <v>15813</v>
          </cell>
          <cell r="P38">
            <v>15835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15236</v>
          </cell>
          <cell r="Y38">
            <v>15267</v>
          </cell>
          <cell r="Z38">
            <v>15293</v>
          </cell>
          <cell r="AA38">
            <v>15327</v>
          </cell>
          <cell r="AB38">
            <v>15312</v>
          </cell>
          <cell r="AC38">
            <v>15308</v>
          </cell>
          <cell r="AD38">
            <v>15304</v>
          </cell>
          <cell r="AE38">
            <v>15302</v>
          </cell>
          <cell r="AF38">
            <v>15299</v>
          </cell>
          <cell r="AG38">
            <v>15300</v>
          </cell>
          <cell r="AH38">
            <v>15309</v>
          </cell>
          <cell r="AI38">
            <v>15327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52421</v>
          </cell>
          <cell r="F41">
            <v>94695</v>
          </cell>
          <cell r="G41">
            <v>133077</v>
          </cell>
          <cell r="H41">
            <v>167698</v>
          </cell>
          <cell r="I41">
            <v>187681.73746226507</v>
          </cell>
          <cell r="J41">
            <v>204125.88976531307</v>
          </cell>
          <cell r="K41">
            <v>219554.75333528093</v>
          </cell>
          <cell r="L41">
            <v>233809.40325250753</v>
          </cell>
          <cell r="M41">
            <v>247943.59353393706</v>
          </cell>
          <cell r="N41">
            <v>266637.8188723342</v>
          </cell>
          <cell r="O41">
            <v>293922.07245106628</v>
          </cell>
          <cell r="P41">
            <v>333709.19875352998</v>
          </cell>
          <cell r="T41">
            <v>38</v>
          </cell>
          <cell r="U41" t="str">
            <v>Residential</v>
          </cell>
          <cell r="X41">
            <v>39919</v>
          </cell>
          <cell r="Y41">
            <v>77853</v>
          </cell>
          <cell r="Z41">
            <v>123515</v>
          </cell>
          <cell r="AA41">
            <v>155767</v>
          </cell>
          <cell r="AB41">
            <v>174503</v>
          </cell>
          <cell r="AC41">
            <v>193501</v>
          </cell>
          <cell r="AD41">
            <v>210589</v>
          </cell>
          <cell r="AE41">
            <v>232290</v>
          </cell>
          <cell r="AF41">
            <v>245896</v>
          </cell>
          <cell r="AG41">
            <v>263548</v>
          </cell>
          <cell r="AH41">
            <v>286647</v>
          </cell>
          <cell r="AI41">
            <v>316364</v>
          </cell>
        </row>
        <row r="42">
          <cell r="A42">
            <v>39</v>
          </cell>
          <cell r="B42" t="str">
            <v>Commercial</v>
          </cell>
          <cell r="E42">
            <v>150373</v>
          </cell>
          <cell r="F42">
            <v>269274</v>
          </cell>
          <cell r="G42">
            <v>395071</v>
          </cell>
          <cell r="H42">
            <v>513000</v>
          </cell>
          <cell r="I42">
            <v>614835.4270133411</v>
          </cell>
          <cell r="J42">
            <v>709970.78586035641</v>
          </cell>
          <cell r="K42">
            <v>802976.23916642321</v>
          </cell>
          <cell r="L42">
            <v>896679.22874671337</v>
          </cell>
          <cell r="M42">
            <v>993251.63112279668</v>
          </cell>
          <cell r="N42">
            <v>1104587.2042068359</v>
          </cell>
          <cell r="O42">
            <v>1228659.4605122211</v>
          </cell>
          <cell r="P42">
            <v>1672129.6133995519</v>
          </cell>
          <cell r="T42">
            <v>39</v>
          </cell>
          <cell r="U42" t="str">
            <v>Commercial</v>
          </cell>
          <cell r="X42">
            <v>121886</v>
          </cell>
          <cell r="Y42">
            <v>240687</v>
          </cell>
          <cell r="Z42">
            <v>398267</v>
          </cell>
          <cell r="AA42">
            <v>505531</v>
          </cell>
          <cell r="AB42">
            <v>614781</v>
          </cell>
          <cell r="AC42">
            <v>711678</v>
          </cell>
          <cell r="AD42">
            <v>814464</v>
          </cell>
          <cell r="AE42">
            <v>903782</v>
          </cell>
          <cell r="AF42">
            <v>996569</v>
          </cell>
          <cell r="AG42">
            <v>1097148</v>
          </cell>
          <cell r="AH42">
            <v>1211737</v>
          </cell>
          <cell r="AI42">
            <v>1334510</v>
          </cell>
        </row>
        <row r="43">
          <cell r="A43">
            <v>40</v>
          </cell>
          <cell r="B43" t="str">
            <v xml:space="preserve">Industrial </v>
          </cell>
          <cell r="E43">
            <v>1372708</v>
          </cell>
          <cell r="F43">
            <v>2534966</v>
          </cell>
          <cell r="G43">
            <v>3630485</v>
          </cell>
          <cell r="H43">
            <v>4657429</v>
          </cell>
          <cell r="I43">
            <v>5919570.0069140131</v>
          </cell>
          <cell r="J43">
            <v>6846780.2513389811</v>
          </cell>
          <cell r="K43">
            <v>7826020.5863277819</v>
          </cell>
          <cell r="L43">
            <v>8800935.1836595573</v>
          </cell>
          <cell r="M43">
            <v>9602904.800954327</v>
          </cell>
          <cell r="N43">
            <v>10375929.925114421</v>
          </cell>
          <cell r="O43">
            <v>11323675.37257766</v>
          </cell>
          <cell r="P43">
            <v>12287960.11305872</v>
          </cell>
          <cell r="T43">
            <v>40</v>
          </cell>
          <cell r="U43" t="str">
            <v xml:space="preserve">Industrial </v>
          </cell>
          <cell r="X43">
            <v>1310137</v>
          </cell>
          <cell r="Y43">
            <v>2473907</v>
          </cell>
          <cell r="Z43">
            <v>3814214</v>
          </cell>
          <cell r="AA43">
            <v>5029837</v>
          </cell>
          <cell r="AB43">
            <v>6372216</v>
          </cell>
          <cell r="AC43">
            <v>7436447</v>
          </cell>
          <cell r="AD43">
            <v>8387557</v>
          </cell>
          <cell r="AE43">
            <v>9458010</v>
          </cell>
          <cell r="AF43">
            <v>10181507</v>
          </cell>
          <cell r="AG43">
            <v>11104680</v>
          </cell>
          <cell r="AH43">
            <v>11968646</v>
          </cell>
          <cell r="AI43">
            <v>13102297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E45">
            <v>1575502</v>
          </cell>
          <cell r="F45">
            <v>2898935</v>
          </cell>
          <cell r="G45">
            <v>4158633</v>
          </cell>
          <cell r="H45">
            <v>5338127</v>
          </cell>
          <cell r="I45">
            <v>6722087.1713896189</v>
          </cell>
          <cell r="J45">
            <v>7760876.9269646509</v>
          </cell>
          <cell r="K45">
            <v>8848551.5788294859</v>
          </cell>
          <cell r="L45">
            <v>9931423.815658778</v>
          </cell>
          <cell r="M45">
            <v>10844100.025611062</v>
          </cell>
          <cell r="N45">
            <v>11747154.948193591</v>
          </cell>
          <cell r="O45">
            <v>12846256.905540947</v>
          </cell>
          <cell r="P45">
            <v>14293798.925211802</v>
          </cell>
          <cell r="T45">
            <v>42</v>
          </cell>
          <cell r="U45" t="str">
            <v>Total customers</v>
          </cell>
          <cell r="X45">
            <v>1471942</v>
          </cell>
          <cell r="Y45">
            <v>2792447</v>
          </cell>
          <cell r="Z45">
            <v>4335996</v>
          </cell>
          <cell r="AA45">
            <v>5691135</v>
          </cell>
          <cell r="AB45">
            <v>7161500</v>
          </cell>
          <cell r="AC45">
            <v>8341626</v>
          </cell>
          <cell r="AD45">
            <v>9412610</v>
          </cell>
          <cell r="AE45">
            <v>10594082</v>
          </cell>
          <cell r="AF45">
            <v>11423972</v>
          </cell>
          <cell r="AG45">
            <v>12465376</v>
          </cell>
          <cell r="AH45">
            <v>13467030</v>
          </cell>
          <cell r="AI45">
            <v>14753171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53831</v>
          </cell>
          <cell r="F48">
            <v>97242</v>
          </cell>
          <cell r="G48">
            <v>136656</v>
          </cell>
          <cell r="H48">
            <v>172208</v>
          </cell>
          <cell r="I48">
            <v>192729</v>
          </cell>
          <cell r="J48">
            <v>209616</v>
          </cell>
          <cell r="K48">
            <v>225460</v>
          </cell>
          <cell r="L48">
            <v>240098</v>
          </cell>
          <cell r="M48">
            <v>254612</v>
          </cell>
          <cell r="N48">
            <v>273809</v>
          </cell>
          <cell r="O48">
            <v>301827</v>
          </cell>
          <cell r="P48">
            <v>342684</v>
          </cell>
          <cell r="T48">
            <v>45</v>
          </cell>
          <cell r="U48" t="str">
            <v>Residential</v>
          </cell>
          <cell r="X48">
            <v>40993</v>
          </cell>
          <cell r="Y48">
            <v>79947</v>
          </cell>
          <cell r="Z48">
            <v>126837</v>
          </cell>
          <cell r="AA48">
            <v>159957</v>
          </cell>
          <cell r="AB48">
            <v>179197</v>
          </cell>
          <cell r="AC48">
            <v>198706</v>
          </cell>
          <cell r="AD48">
            <v>216254</v>
          </cell>
          <cell r="AE48">
            <v>238539</v>
          </cell>
          <cell r="AF48">
            <v>252511</v>
          </cell>
          <cell r="AG48">
            <v>270638</v>
          </cell>
          <cell r="AH48">
            <v>294358</v>
          </cell>
          <cell r="AI48">
            <v>324874</v>
          </cell>
        </row>
        <row r="49">
          <cell r="A49">
            <v>46</v>
          </cell>
          <cell r="B49" t="str">
            <v>Commercial</v>
          </cell>
          <cell r="E49">
            <v>154418</v>
          </cell>
          <cell r="F49">
            <v>276517</v>
          </cell>
          <cell r="G49">
            <v>405698</v>
          </cell>
          <cell r="H49">
            <v>526799</v>
          </cell>
          <cell r="I49">
            <v>631374</v>
          </cell>
          <cell r="J49">
            <v>729069</v>
          </cell>
          <cell r="K49">
            <v>824576</v>
          </cell>
          <cell r="L49">
            <v>920800</v>
          </cell>
          <cell r="M49">
            <v>1019970</v>
          </cell>
          <cell r="N49">
            <v>1134301</v>
          </cell>
          <cell r="O49">
            <v>1261711</v>
          </cell>
          <cell r="P49">
            <v>1717111</v>
          </cell>
          <cell r="T49">
            <v>46</v>
          </cell>
          <cell r="U49" t="str">
            <v>Commercial</v>
          </cell>
          <cell r="X49">
            <v>125165</v>
          </cell>
          <cell r="Y49">
            <v>247162</v>
          </cell>
          <cell r="Z49">
            <v>408981</v>
          </cell>
          <cell r="AA49">
            <v>519130</v>
          </cell>
          <cell r="AB49">
            <v>631319</v>
          </cell>
          <cell r="AC49">
            <v>730823</v>
          </cell>
          <cell r="AD49">
            <v>836374</v>
          </cell>
          <cell r="AE49">
            <v>928095</v>
          </cell>
          <cell r="AF49">
            <v>1023378</v>
          </cell>
          <cell r="AG49">
            <v>1126663</v>
          </cell>
          <cell r="AH49">
            <v>1244334</v>
          </cell>
          <cell r="AI49">
            <v>1370410</v>
          </cell>
        </row>
        <row r="50">
          <cell r="A50">
            <v>47</v>
          </cell>
          <cell r="B50" t="str">
            <v xml:space="preserve">Industrial </v>
          </cell>
          <cell r="E50">
            <v>1409634</v>
          </cell>
          <cell r="F50">
            <v>2603157</v>
          </cell>
          <cell r="G50">
            <v>3728145</v>
          </cell>
          <cell r="H50">
            <v>4782714</v>
          </cell>
          <cell r="I50">
            <v>6078807</v>
          </cell>
          <cell r="J50">
            <v>7030959</v>
          </cell>
          <cell r="K50">
            <v>8036541</v>
          </cell>
          <cell r="L50">
            <v>9037681</v>
          </cell>
          <cell r="M50">
            <v>9861224</v>
          </cell>
          <cell r="N50">
            <v>10655044</v>
          </cell>
          <cell r="O50">
            <v>11628284</v>
          </cell>
          <cell r="P50">
            <v>12618508</v>
          </cell>
          <cell r="T50">
            <v>47</v>
          </cell>
          <cell r="U50" t="str">
            <v xml:space="preserve">Industrial </v>
          </cell>
          <cell r="X50">
            <v>1345380</v>
          </cell>
          <cell r="Y50">
            <v>2540455</v>
          </cell>
          <cell r="Z50">
            <v>3916816</v>
          </cell>
          <cell r="AA50">
            <v>5165139</v>
          </cell>
          <cell r="AB50">
            <v>6543628</v>
          </cell>
          <cell r="AC50">
            <v>7636487</v>
          </cell>
          <cell r="AD50">
            <v>8613182</v>
          </cell>
          <cell r="AE50">
            <v>9712430</v>
          </cell>
          <cell r="AF50">
            <v>10455389</v>
          </cell>
          <cell r="AG50">
            <v>11403395</v>
          </cell>
          <cell r="AH50">
            <v>12290602</v>
          </cell>
          <cell r="AI50">
            <v>13454748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1617883</v>
          </cell>
          <cell r="F52">
            <v>2976916</v>
          </cell>
          <cell r="G52">
            <v>4270499</v>
          </cell>
          <cell r="H52">
            <v>5481721</v>
          </cell>
          <cell r="I52">
            <v>6902910</v>
          </cell>
          <cell r="J52">
            <v>7969644</v>
          </cell>
          <cell r="K52">
            <v>9086577</v>
          </cell>
          <cell r="L52">
            <v>10198579</v>
          </cell>
          <cell r="M52">
            <v>11135806</v>
          </cell>
          <cell r="N52">
            <v>12063154</v>
          </cell>
          <cell r="O52">
            <v>13191822</v>
          </cell>
          <cell r="P52">
            <v>14678303</v>
          </cell>
          <cell r="T52">
            <v>49</v>
          </cell>
          <cell r="U52" t="str">
            <v>Total Volume</v>
          </cell>
          <cell r="W52">
            <v>0</v>
          </cell>
          <cell r="X52">
            <v>1511538</v>
          </cell>
          <cell r="Y52">
            <v>2867564</v>
          </cell>
          <cell r="Z52">
            <v>4452634</v>
          </cell>
          <cell r="AA52">
            <v>5844226</v>
          </cell>
          <cell r="AB52">
            <v>7354144</v>
          </cell>
          <cell r="AC52">
            <v>8566016</v>
          </cell>
          <cell r="AD52">
            <v>9665810</v>
          </cell>
          <cell r="AE52">
            <v>10879064</v>
          </cell>
          <cell r="AF52">
            <v>11731278</v>
          </cell>
          <cell r="AG52">
            <v>12800696</v>
          </cell>
          <cell r="AH52">
            <v>13829294</v>
          </cell>
          <cell r="AI52">
            <v>15150032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15357</v>
          </cell>
          <cell r="F55">
            <v>15388</v>
          </cell>
          <cell r="G55">
            <v>15416</v>
          </cell>
          <cell r="H55">
            <v>15452</v>
          </cell>
          <cell r="I55">
            <v>15437</v>
          </cell>
          <cell r="J55">
            <v>15435</v>
          </cell>
          <cell r="K55">
            <v>15385</v>
          </cell>
          <cell r="L55">
            <v>15352</v>
          </cell>
          <cell r="M55">
            <v>15324</v>
          </cell>
          <cell r="N55">
            <v>15306</v>
          </cell>
          <cell r="O55">
            <v>15305</v>
          </cell>
          <cell r="P55">
            <v>15308</v>
          </cell>
        </row>
        <row r="56">
          <cell r="A56">
            <v>53</v>
          </cell>
          <cell r="B56" t="str">
            <v>Cumulative Budget YTD Volume (Mcfs)</v>
          </cell>
          <cell r="E56">
            <v>1465717</v>
          </cell>
          <cell r="F56">
            <v>2813940</v>
          </cell>
          <cell r="G56">
            <v>4353997</v>
          </cell>
          <cell r="H56">
            <v>5654601</v>
          </cell>
          <cell r="I56">
            <v>7174251</v>
          </cell>
          <cell r="J56">
            <v>8377870</v>
          </cell>
          <cell r="K56">
            <v>9436103</v>
          </cell>
          <cell r="L56">
            <v>10620563</v>
          </cell>
          <cell r="M56">
            <v>11592709</v>
          </cell>
          <cell r="N56">
            <v>12653406</v>
          </cell>
          <cell r="O56">
            <v>13879714</v>
          </cell>
          <cell r="P56">
            <v>15367797</v>
          </cell>
        </row>
        <row r="57">
          <cell r="A57">
            <v>54</v>
          </cell>
          <cell r="B57" t="str">
            <v>Cumulative YTD Budget Volume (Dts) * 1.035</v>
          </cell>
          <cell r="E57">
            <v>1505145</v>
          </cell>
          <cell r="F57">
            <v>2889635</v>
          </cell>
          <cell r="G57">
            <v>4471120</v>
          </cell>
          <cell r="H57">
            <v>5806710</v>
          </cell>
          <cell r="I57">
            <v>7367239</v>
          </cell>
          <cell r="J57">
            <v>8603235</v>
          </cell>
          <cell r="K57">
            <v>9689934</v>
          </cell>
          <cell r="L57">
            <v>10906256</v>
          </cell>
          <cell r="M57">
            <v>11904553</v>
          </cell>
          <cell r="N57">
            <v>12993783</v>
          </cell>
          <cell r="O57">
            <v>14253079</v>
          </cell>
          <cell r="P57">
            <v>15781191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10933.25</v>
          </cell>
          <cell r="E5">
            <v>11220</v>
          </cell>
          <cell r="F5">
            <v>11298</v>
          </cell>
          <cell r="G5">
            <v>11331</v>
          </cell>
          <cell r="H5">
            <v>11233</v>
          </cell>
          <cell r="I5">
            <v>10980</v>
          </cell>
          <cell r="J5">
            <v>10695</v>
          </cell>
          <cell r="K5">
            <v>10609</v>
          </cell>
          <cell r="L5">
            <v>10569</v>
          </cell>
          <cell r="M5">
            <v>10609</v>
          </cell>
          <cell r="N5">
            <v>10626</v>
          </cell>
          <cell r="O5">
            <v>10844</v>
          </cell>
          <cell r="P5">
            <v>11185</v>
          </cell>
          <cell r="T5">
            <v>2</v>
          </cell>
          <cell r="U5" t="str">
            <v>Residential</v>
          </cell>
          <cell r="V5">
            <v>10806</v>
          </cell>
          <cell r="W5">
            <v>129675</v>
          </cell>
          <cell r="X5">
            <v>10988</v>
          </cell>
          <cell r="Y5">
            <v>11054</v>
          </cell>
          <cell r="Z5">
            <v>11084</v>
          </cell>
          <cell r="AA5">
            <v>11058</v>
          </cell>
          <cell r="AB5">
            <v>10841</v>
          </cell>
          <cell r="AC5">
            <v>10628</v>
          </cell>
          <cell r="AD5">
            <v>10546</v>
          </cell>
          <cell r="AE5">
            <v>10486</v>
          </cell>
          <cell r="AF5">
            <v>10520</v>
          </cell>
          <cell r="AG5">
            <v>10600</v>
          </cell>
          <cell r="AH5">
            <v>10792</v>
          </cell>
          <cell r="AI5">
            <v>11078</v>
          </cell>
        </row>
        <row r="6">
          <cell r="A6">
            <v>3</v>
          </cell>
          <cell r="B6" t="str">
            <v>Commercial</v>
          </cell>
          <cell r="D6">
            <v>1786.25</v>
          </cell>
          <cell r="E6">
            <v>1818</v>
          </cell>
          <cell r="F6">
            <v>1822</v>
          </cell>
          <cell r="G6">
            <v>1823</v>
          </cell>
          <cell r="H6">
            <v>1812</v>
          </cell>
          <cell r="I6">
            <v>1789</v>
          </cell>
          <cell r="J6">
            <v>1757</v>
          </cell>
          <cell r="K6">
            <v>1753</v>
          </cell>
          <cell r="L6">
            <v>1746</v>
          </cell>
          <cell r="M6">
            <v>1747</v>
          </cell>
          <cell r="N6">
            <v>1749</v>
          </cell>
          <cell r="O6">
            <v>1787</v>
          </cell>
          <cell r="P6">
            <v>1832</v>
          </cell>
          <cell r="T6">
            <v>3</v>
          </cell>
          <cell r="U6" t="str">
            <v>Commercial</v>
          </cell>
          <cell r="V6">
            <v>1774</v>
          </cell>
          <cell r="W6">
            <v>21291</v>
          </cell>
          <cell r="X6">
            <v>1789</v>
          </cell>
          <cell r="Y6">
            <v>1808</v>
          </cell>
          <cell r="Z6">
            <v>1812</v>
          </cell>
          <cell r="AA6">
            <v>1800</v>
          </cell>
          <cell r="AB6">
            <v>1772</v>
          </cell>
          <cell r="AC6">
            <v>1755</v>
          </cell>
          <cell r="AD6">
            <v>1747</v>
          </cell>
          <cell r="AE6">
            <v>1738</v>
          </cell>
          <cell r="AF6">
            <v>1740</v>
          </cell>
          <cell r="AG6">
            <v>1748</v>
          </cell>
          <cell r="AH6">
            <v>1777</v>
          </cell>
          <cell r="AI6">
            <v>1805</v>
          </cell>
        </row>
        <row r="7">
          <cell r="A7">
            <v>4</v>
          </cell>
          <cell r="B7" t="str">
            <v xml:space="preserve">Industrial </v>
          </cell>
          <cell r="D7">
            <v>35.583333333333336</v>
          </cell>
          <cell r="E7">
            <v>35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37</v>
          </cell>
          <cell r="N7">
            <v>37</v>
          </cell>
          <cell r="O7">
            <v>37</v>
          </cell>
          <cell r="P7">
            <v>36</v>
          </cell>
          <cell r="T7">
            <v>4</v>
          </cell>
          <cell r="U7" t="str">
            <v xml:space="preserve">Industrial </v>
          </cell>
          <cell r="V7">
            <v>35</v>
          </cell>
          <cell r="W7">
            <v>423</v>
          </cell>
          <cell r="X7">
            <v>36</v>
          </cell>
          <cell r="Y7">
            <v>36</v>
          </cell>
          <cell r="Z7">
            <v>36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35</v>
          </cell>
          <cell r="AG7">
            <v>35</v>
          </cell>
          <cell r="AH7">
            <v>35</v>
          </cell>
          <cell r="AI7">
            <v>35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12755.083333333334</v>
          </cell>
          <cell r="E9">
            <v>13073</v>
          </cell>
          <cell r="F9">
            <v>13155</v>
          </cell>
          <cell r="G9">
            <v>13189</v>
          </cell>
          <cell r="H9">
            <v>13080</v>
          </cell>
          <cell r="I9">
            <v>12804</v>
          </cell>
          <cell r="J9">
            <v>12487</v>
          </cell>
          <cell r="K9">
            <v>12397</v>
          </cell>
          <cell r="L9">
            <v>12350</v>
          </cell>
          <cell r="M9">
            <v>12393</v>
          </cell>
          <cell r="N9">
            <v>12412</v>
          </cell>
          <cell r="O9">
            <v>12668</v>
          </cell>
          <cell r="P9">
            <v>13053</v>
          </cell>
          <cell r="T9">
            <v>6</v>
          </cell>
          <cell r="U9" t="str">
            <v>Total customers</v>
          </cell>
          <cell r="V9">
            <v>12615</v>
          </cell>
          <cell r="W9">
            <v>151389</v>
          </cell>
          <cell r="X9">
            <v>12813</v>
          </cell>
          <cell r="Y9">
            <v>12898</v>
          </cell>
          <cell r="Z9">
            <v>12932</v>
          </cell>
          <cell r="AA9">
            <v>12893</v>
          </cell>
          <cell r="AB9">
            <v>12648</v>
          </cell>
          <cell r="AC9">
            <v>12418</v>
          </cell>
          <cell r="AD9">
            <v>12328</v>
          </cell>
          <cell r="AE9">
            <v>12259</v>
          </cell>
          <cell r="AF9">
            <v>12295</v>
          </cell>
          <cell r="AG9">
            <v>12383</v>
          </cell>
          <cell r="AH9">
            <v>12604</v>
          </cell>
          <cell r="AI9">
            <v>12918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- 2014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563905</v>
          </cell>
          <cell r="E12">
            <v>100180</v>
          </cell>
          <cell r="F12">
            <v>127855</v>
          </cell>
          <cell r="G12">
            <v>101744</v>
          </cell>
          <cell r="H12">
            <v>57904</v>
          </cell>
          <cell r="I12">
            <v>24576</v>
          </cell>
          <cell r="J12">
            <v>11068</v>
          </cell>
          <cell r="K12">
            <v>8949</v>
          </cell>
          <cell r="L12">
            <v>8169</v>
          </cell>
          <cell r="M12">
            <v>9583</v>
          </cell>
          <cell r="N12">
            <v>11236</v>
          </cell>
          <cell r="O12">
            <v>31544</v>
          </cell>
          <cell r="P12">
            <v>71097</v>
          </cell>
          <cell r="T12">
            <v>9</v>
          </cell>
          <cell r="U12" t="str">
            <v>Residential</v>
          </cell>
          <cell r="W12">
            <v>533386</v>
          </cell>
          <cell r="X12">
            <v>89494</v>
          </cell>
          <cell r="Y12">
            <v>102130</v>
          </cell>
          <cell r="Z12">
            <v>89615</v>
          </cell>
          <cell r="AA12">
            <v>66051</v>
          </cell>
          <cell r="AB12">
            <v>25215</v>
          </cell>
          <cell r="AC12">
            <v>12206</v>
          </cell>
          <cell r="AD12">
            <v>8832</v>
          </cell>
          <cell r="AE12">
            <v>8807</v>
          </cell>
          <cell r="AF12">
            <v>9291</v>
          </cell>
          <cell r="AG12">
            <v>11914</v>
          </cell>
          <cell r="AH12">
            <v>35295</v>
          </cell>
          <cell r="AI12">
            <v>74536</v>
          </cell>
        </row>
        <row r="13">
          <cell r="A13">
            <v>10</v>
          </cell>
          <cell r="B13" t="str">
            <v>Commercial</v>
          </cell>
          <cell r="C13">
            <v>869825</v>
          </cell>
          <cell r="E13">
            <v>129500</v>
          </cell>
          <cell r="F13">
            <v>144959</v>
          </cell>
          <cell r="G13">
            <v>127695</v>
          </cell>
          <cell r="H13">
            <v>78637</v>
          </cell>
          <cell r="I13">
            <v>48575</v>
          </cell>
          <cell r="J13">
            <v>34129</v>
          </cell>
          <cell r="K13">
            <v>33106</v>
          </cell>
          <cell r="L13">
            <v>30981</v>
          </cell>
          <cell r="M13">
            <v>34964</v>
          </cell>
          <cell r="N13">
            <v>42033</v>
          </cell>
          <cell r="O13">
            <v>62710</v>
          </cell>
          <cell r="P13">
            <v>102536</v>
          </cell>
          <cell r="T13">
            <v>10</v>
          </cell>
          <cell r="U13" t="str">
            <v>Commercial</v>
          </cell>
          <cell r="W13">
            <v>836749</v>
          </cell>
          <cell r="X13">
            <v>117589</v>
          </cell>
          <cell r="Y13">
            <v>121251</v>
          </cell>
          <cell r="Z13">
            <v>113194</v>
          </cell>
          <cell r="AA13">
            <v>81481</v>
          </cell>
          <cell r="AB13">
            <v>50047</v>
          </cell>
          <cell r="AC13">
            <v>34110</v>
          </cell>
          <cell r="AD13">
            <v>31670</v>
          </cell>
          <cell r="AE13">
            <v>34560</v>
          </cell>
          <cell r="AF13">
            <v>35332</v>
          </cell>
          <cell r="AG13">
            <v>45131</v>
          </cell>
          <cell r="AH13">
            <v>64613</v>
          </cell>
          <cell r="AI13">
            <v>107771</v>
          </cell>
        </row>
        <row r="14">
          <cell r="A14">
            <v>11</v>
          </cell>
          <cell r="B14" t="str">
            <v xml:space="preserve">Industrial </v>
          </cell>
          <cell r="C14">
            <v>1374405</v>
          </cell>
          <cell r="E14">
            <v>113534</v>
          </cell>
          <cell r="F14">
            <v>116424</v>
          </cell>
          <cell r="G14">
            <v>111908</v>
          </cell>
          <cell r="H14">
            <v>107383</v>
          </cell>
          <cell r="I14">
            <v>106482</v>
          </cell>
          <cell r="J14">
            <v>95609</v>
          </cell>
          <cell r="K14">
            <v>103661</v>
          </cell>
          <cell r="L14">
            <v>95621</v>
          </cell>
          <cell r="M14">
            <v>116124</v>
          </cell>
          <cell r="N14">
            <v>136785</v>
          </cell>
          <cell r="O14">
            <v>126559</v>
          </cell>
          <cell r="P14">
            <v>144315</v>
          </cell>
          <cell r="T14">
            <v>11</v>
          </cell>
          <cell r="U14" t="str">
            <v xml:space="preserve">Industrial </v>
          </cell>
          <cell r="W14">
            <v>1272782</v>
          </cell>
          <cell r="X14">
            <v>119756</v>
          </cell>
          <cell r="Y14">
            <v>109558</v>
          </cell>
          <cell r="Z14">
            <v>109664</v>
          </cell>
          <cell r="AA14">
            <v>105482</v>
          </cell>
          <cell r="AB14">
            <v>90209</v>
          </cell>
          <cell r="AC14">
            <v>64055</v>
          </cell>
          <cell r="AD14">
            <v>90781</v>
          </cell>
          <cell r="AE14">
            <v>96637</v>
          </cell>
          <cell r="AF14">
            <v>110593</v>
          </cell>
          <cell r="AG14">
            <v>128006</v>
          </cell>
          <cell r="AH14">
            <v>118095</v>
          </cell>
          <cell r="AI14">
            <v>129946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C16">
            <v>2808135</v>
          </cell>
          <cell r="E16">
            <v>343214</v>
          </cell>
          <cell r="F16">
            <v>389238</v>
          </cell>
          <cell r="G16">
            <v>341347</v>
          </cell>
          <cell r="H16">
            <v>243924</v>
          </cell>
          <cell r="I16">
            <v>179633</v>
          </cell>
          <cell r="J16">
            <v>140806</v>
          </cell>
          <cell r="K16">
            <v>145716</v>
          </cell>
          <cell r="L16">
            <v>134771</v>
          </cell>
          <cell r="M16">
            <v>160671</v>
          </cell>
          <cell r="N16">
            <v>190054</v>
          </cell>
          <cell r="O16">
            <v>220813</v>
          </cell>
          <cell r="P16">
            <v>317948</v>
          </cell>
          <cell r="T16">
            <v>13</v>
          </cell>
          <cell r="U16" t="str">
            <v>Total Deliveries</v>
          </cell>
          <cell r="W16">
            <v>2642917</v>
          </cell>
          <cell r="X16">
            <v>326839</v>
          </cell>
          <cell r="Y16">
            <v>332939</v>
          </cell>
          <cell r="Z16">
            <v>312473</v>
          </cell>
          <cell r="AA16">
            <v>253014</v>
          </cell>
          <cell r="AB16">
            <v>165471</v>
          </cell>
          <cell r="AC16">
            <v>110371</v>
          </cell>
          <cell r="AD16">
            <v>131283</v>
          </cell>
          <cell r="AE16">
            <v>140004</v>
          </cell>
          <cell r="AF16">
            <v>155216</v>
          </cell>
          <cell r="AG16">
            <v>185051</v>
          </cell>
          <cell r="AH16">
            <v>218003</v>
          </cell>
          <cell r="AI16">
            <v>312253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  <cell r="T18">
            <v>15</v>
          </cell>
        </row>
        <row r="19">
          <cell r="A19">
            <v>16</v>
          </cell>
          <cell r="T19">
            <v>16</v>
          </cell>
          <cell r="X19">
            <v>1.0380400000000001</v>
          </cell>
          <cell r="Y19">
            <v>1.0367999999999999</v>
          </cell>
          <cell r="Z19">
            <v>1.0362800000000001</v>
          </cell>
          <cell r="AA19">
            <v>1.02982</v>
          </cell>
          <cell r="AB19">
            <v>1.03478</v>
          </cell>
          <cell r="AC19">
            <v>1.0458799999999999</v>
          </cell>
          <cell r="AD19">
            <v>1.0603199999999999</v>
          </cell>
          <cell r="AE19">
            <v>1.06446</v>
          </cell>
          <cell r="AF19">
            <v>1.07433</v>
          </cell>
          <cell r="AG19">
            <v>1.0718000000000001</v>
          </cell>
          <cell r="AH19">
            <v>1.0765</v>
          </cell>
          <cell r="AI19">
            <v>1.0692900000000001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- 2013 -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597414</v>
          </cell>
          <cell r="E21">
            <v>106677</v>
          </cell>
          <cell r="F21">
            <v>134714</v>
          </cell>
          <cell r="G21">
            <v>107168</v>
          </cell>
          <cell r="H21">
            <v>61173</v>
          </cell>
          <cell r="I21">
            <v>25999</v>
          </cell>
          <cell r="J21">
            <v>11728</v>
          </cell>
          <cell r="K21">
            <v>9549</v>
          </cell>
          <cell r="L21">
            <v>8713</v>
          </cell>
          <cell r="M21">
            <v>10198</v>
          </cell>
          <cell r="N21">
            <v>11965</v>
          </cell>
          <cell r="O21">
            <v>33665</v>
          </cell>
          <cell r="P21">
            <v>75865</v>
          </cell>
          <cell r="T21">
            <v>18</v>
          </cell>
          <cell r="U21" t="str">
            <v>Residential</v>
          </cell>
          <cell r="W21">
            <v>557718</v>
          </cell>
          <cell r="X21">
            <v>92898</v>
          </cell>
          <cell r="Y21">
            <v>105888</v>
          </cell>
          <cell r="Z21">
            <v>92866</v>
          </cell>
          <cell r="AA21">
            <v>68021</v>
          </cell>
          <cell r="AB21">
            <v>26092</v>
          </cell>
          <cell r="AC21">
            <v>12766</v>
          </cell>
          <cell r="AD21">
            <v>9365</v>
          </cell>
          <cell r="AE21">
            <v>9375</v>
          </cell>
          <cell r="AF21">
            <v>9982</v>
          </cell>
          <cell r="AG21">
            <v>12769</v>
          </cell>
          <cell r="AH21">
            <v>37995</v>
          </cell>
          <cell r="AI21">
            <v>79701</v>
          </cell>
        </row>
        <row r="22">
          <cell r="A22">
            <v>19</v>
          </cell>
          <cell r="B22" t="str">
            <v>Commercial</v>
          </cell>
          <cell r="D22">
            <v>922440</v>
          </cell>
          <cell r="E22">
            <v>137898</v>
          </cell>
          <cell r="F22">
            <v>152736</v>
          </cell>
          <cell r="G22">
            <v>134502</v>
          </cell>
          <cell r="H22">
            <v>83076</v>
          </cell>
          <cell r="I22">
            <v>51387</v>
          </cell>
          <cell r="J22">
            <v>36163</v>
          </cell>
          <cell r="K22">
            <v>35326</v>
          </cell>
          <cell r="L22">
            <v>33044</v>
          </cell>
          <cell r="M22">
            <v>37209</v>
          </cell>
          <cell r="N22">
            <v>44759</v>
          </cell>
          <cell r="O22">
            <v>66927</v>
          </cell>
          <cell r="P22">
            <v>109413</v>
          </cell>
          <cell r="T22">
            <v>19</v>
          </cell>
          <cell r="U22" t="str">
            <v>Commercial</v>
          </cell>
          <cell r="W22">
            <v>877941</v>
          </cell>
          <cell r="X22">
            <v>122062</v>
          </cell>
          <cell r="Y22">
            <v>125713</v>
          </cell>
          <cell r="Z22">
            <v>117301</v>
          </cell>
          <cell r="AA22">
            <v>83911</v>
          </cell>
          <cell r="AB22">
            <v>51788</v>
          </cell>
          <cell r="AC22">
            <v>35675</v>
          </cell>
          <cell r="AD22">
            <v>33580</v>
          </cell>
          <cell r="AE22">
            <v>36788</v>
          </cell>
          <cell r="AF22">
            <v>37958</v>
          </cell>
          <cell r="AG22">
            <v>48371</v>
          </cell>
          <cell r="AH22">
            <v>69556</v>
          </cell>
          <cell r="AI22">
            <v>115238</v>
          </cell>
        </row>
        <row r="23">
          <cell r="A23">
            <v>20</v>
          </cell>
          <cell r="B23" t="str">
            <v xml:space="preserve">Industrial </v>
          </cell>
          <cell r="D23">
            <v>1459739</v>
          </cell>
          <cell r="E23">
            <v>120897</v>
          </cell>
          <cell r="F23">
            <v>122670</v>
          </cell>
          <cell r="G23">
            <v>117874</v>
          </cell>
          <cell r="H23">
            <v>113445</v>
          </cell>
          <cell r="I23">
            <v>112646</v>
          </cell>
          <cell r="J23">
            <v>101306</v>
          </cell>
          <cell r="K23">
            <v>110611</v>
          </cell>
          <cell r="L23">
            <v>101989</v>
          </cell>
          <cell r="M23">
            <v>123581</v>
          </cell>
          <cell r="N23">
            <v>145657</v>
          </cell>
          <cell r="O23">
            <v>135069</v>
          </cell>
          <cell r="P23">
            <v>153994</v>
          </cell>
          <cell r="T23">
            <v>20</v>
          </cell>
          <cell r="U23" t="str">
            <v xml:space="preserve">Industrial </v>
          </cell>
          <cell r="W23">
            <v>1341724</v>
          </cell>
          <cell r="X23">
            <v>124312</v>
          </cell>
          <cell r="Y23">
            <v>113590</v>
          </cell>
          <cell r="Z23">
            <v>113643</v>
          </cell>
          <cell r="AA23">
            <v>108627</v>
          </cell>
          <cell r="AB23">
            <v>93346</v>
          </cell>
          <cell r="AC23">
            <v>66994</v>
          </cell>
          <cell r="AD23">
            <v>96257</v>
          </cell>
          <cell r="AE23">
            <v>102866</v>
          </cell>
          <cell r="AF23">
            <v>118813</v>
          </cell>
          <cell r="AG23">
            <v>137197</v>
          </cell>
          <cell r="AH23">
            <v>127129</v>
          </cell>
          <cell r="AI23">
            <v>138950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2979593</v>
          </cell>
          <cell r="E25">
            <v>365472</v>
          </cell>
          <cell r="F25">
            <v>410120</v>
          </cell>
          <cell r="G25">
            <v>359544</v>
          </cell>
          <cell r="H25">
            <v>257694</v>
          </cell>
          <cell r="I25">
            <v>190032</v>
          </cell>
          <cell r="J25">
            <v>149197</v>
          </cell>
          <cell r="K25">
            <v>155486</v>
          </cell>
          <cell r="L25">
            <v>143746</v>
          </cell>
          <cell r="M25">
            <v>170988</v>
          </cell>
          <cell r="N25">
            <v>202381</v>
          </cell>
          <cell r="O25">
            <v>235661</v>
          </cell>
          <cell r="P25">
            <v>339272</v>
          </cell>
          <cell r="T25">
            <v>22</v>
          </cell>
          <cell r="U25" t="str">
            <v>Total Deliveries</v>
          </cell>
          <cell r="W25">
            <v>2777383</v>
          </cell>
          <cell r="X25">
            <v>339272</v>
          </cell>
          <cell r="Y25">
            <v>345191</v>
          </cell>
          <cell r="Z25">
            <v>323810</v>
          </cell>
          <cell r="AA25">
            <v>260559</v>
          </cell>
          <cell r="AB25">
            <v>171226</v>
          </cell>
          <cell r="AC25">
            <v>115435</v>
          </cell>
          <cell r="AD25">
            <v>139202</v>
          </cell>
          <cell r="AE25">
            <v>149029</v>
          </cell>
          <cell r="AF25">
            <v>166753</v>
          </cell>
          <cell r="AG25">
            <v>198337</v>
          </cell>
          <cell r="AH25">
            <v>234680</v>
          </cell>
          <cell r="AI25">
            <v>333889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13021</v>
          </cell>
          <cell r="F28">
            <v>13116</v>
          </cell>
          <cell r="G28">
            <v>13124</v>
          </cell>
          <cell r="H28">
            <v>13097</v>
          </cell>
          <cell r="I28">
            <v>12920</v>
          </cell>
          <cell r="J28">
            <v>12580</v>
          </cell>
          <cell r="K28">
            <v>12586</v>
          </cell>
          <cell r="L28">
            <v>12610</v>
          </cell>
          <cell r="M28">
            <v>12734</v>
          </cell>
          <cell r="N28">
            <v>12888</v>
          </cell>
          <cell r="O28">
            <v>13288</v>
          </cell>
          <cell r="P28">
            <v>13713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352630</v>
          </cell>
          <cell r="F29">
            <v>343028</v>
          </cell>
          <cell r="G29">
            <v>308535</v>
          </cell>
          <cell r="H29">
            <v>249809</v>
          </cell>
          <cell r="I29">
            <v>167742</v>
          </cell>
          <cell r="J29">
            <v>113582</v>
          </cell>
          <cell r="K29">
            <v>140408</v>
          </cell>
          <cell r="L29">
            <v>152751</v>
          </cell>
          <cell r="M29">
            <v>163227</v>
          </cell>
          <cell r="N29">
            <v>185321</v>
          </cell>
          <cell r="O29">
            <v>252220</v>
          </cell>
          <cell r="P29">
            <v>299799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364972.05</v>
          </cell>
          <cell r="F30">
            <v>355033.98</v>
          </cell>
          <cell r="G30">
            <v>319333.72499999998</v>
          </cell>
          <cell r="H30">
            <v>258552.31499999997</v>
          </cell>
          <cell r="I30">
            <v>173612.96999999997</v>
          </cell>
          <cell r="J30">
            <v>117557.37</v>
          </cell>
          <cell r="K30">
            <v>145322.28</v>
          </cell>
          <cell r="L30">
            <v>158097.28499999997</v>
          </cell>
          <cell r="M30">
            <v>168939.94499999998</v>
          </cell>
          <cell r="N30">
            <v>191807.23499999999</v>
          </cell>
          <cell r="O30">
            <v>261047.69999999998</v>
          </cell>
          <cell r="P30">
            <v>310291.96499999997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11220</v>
          </cell>
          <cell r="F34">
            <v>11259</v>
          </cell>
          <cell r="G34">
            <v>11283</v>
          </cell>
          <cell r="H34">
            <v>11271</v>
          </cell>
          <cell r="I34">
            <v>11212</v>
          </cell>
          <cell r="J34">
            <v>11126</v>
          </cell>
          <cell r="K34">
            <v>11052</v>
          </cell>
          <cell r="L34">
            <v>10992</v>
          </cell>
          <cell r="M34">
            <v>10949</v>
          </cell>
          <cell r="N34">
            <v>10917</v>
          </cell>
          <cell r="O34">
            <v>10910</v>
          </cell>
          <cell r="P34">
            <v>10933</v>
          </cell>
          <cell r="T34">
            <v>31</v>
          </cell>
          <cell r="U34" t="str">
            <v>Residential</v>
          </cell>
          <cell r="X34">
            <v>10988</v>
          </cell>
          <cell r="Y34">
            <v>11021</v>
          </cell>
          <cell r="Z34">
            <v>11042</v>
          </cell>
          <cell r="AA34">
            <v>11046</v>
          </cell>
          <cell r="AB34">
            <v>11005</v>
          </cell>
          <cell r="AC34">
            <v>10942</v>
          </cell>
          <cell r="AD34">
            <v>10886</v>
          </cell>
          <cell r="AE34">
            <v>10836</v>
          </cell>
          <cell r="AF34">
            <v>10801</v>
          </cell>
          <cell r="AG34">
            <v>10781</v>
          </cell>
          <cell r="AH34">
            <v>10782</v>
          </cell>
          <cell r="AI34">
            <v>10806</v>
          </cell>
        </row>
        <row r="35">
          <cell r="A35">
            <v>32</v>
          </cell>
          <cell r="B35" t="str">
            <v>Commercial</v>
          </cell>
          <cell r="E35">
            <v>1818</v>
          </cell>
          <cell r="F35">
            <v>1820</v>
          </cell>
          <cell r="G35">
            <v>1821</v>
          </cell>
          <cell r="H35">
            <v>1819</v>
          </cell>
          <cell r="I35">
            <v>1813</v>
          </cell>
          <cell r="J35">
            <v>1804</v>
          </cell>
          <cell r="K35">
            <v>1796</v>
          </cell>
          <cell r="L35">
            <v>1790</v>
          </cell>
          <cell r="M35">
            <v>1785</v>
          </cell>
          <cell r="N35">
            <v>1782</v>
          </cell>
          <cell r="O35">
            <v>1782</v>
          </cell>
          <cell r="P35">
            <v>1786</v>
          </cell>
          <cell r="T35">
            <v>32</v>
          </cell>
          <cell r="U35" t="str">
            <v>Commercial</v>
          </cell>
          <cell r="X35">
            <v>1789</v>
          </cell>
          <cell r="Y35">
            <v>1799</v>
          </cell>
          <cell r="Z35">
            <v>1803</v>
          </cell>
          <cell r="AA35">
            <v>1802</v>
          </cell>
          <cell r="AB35">
            <v>1796</v>
          </cell>
          <cell r="AC35">
            <v>1789</v>
          </cell>
          <cell r="AD35">
            <v>1783</v>
          </cell>
          <cell r="AE35">
            <v>1778</v>
          </cell>
          <cell r="AF35">
            <v>1773</v>
          </cell>
          <cell r="AG35">
            <v>1771</v>
          </cell>
          <cell r="AH35">
            <v>1771</v>
          </cell>
          <cell r="AI35">
            <v>1774</v>
          </cell>
        </row>
        <row r="36">
          <cell r="A36">
            <v>33</v>
          </cell>
          <cell r="B36" t="str">
            <v xml:space="preserve">Industrial </v>
          </cell>
          <cell r="E36">
            <v>35</v>
          </cell>
          <cell r="F36">
            <v>35</v>
          </cell>
          <cell r="G36">
            <v>35</v>
          </cell>
          <cell r="H36">
            <v>35</v>
          </cell>
          <cell r="I36">
            <v>35</v>
          </cell>
          <cell r="J36">
            <v>35</v>
          </cell>
          <cell r="K36">
            <v>35</v>
          </cell>
          <cell r="L36">
            <v>35</v>
          </cell>
          <cell r="M36">
            <v>35</v>
          </cell>
          <cell r="N36">
            <v>35</v>
          </cell>
          <cell r="O36">
            <v>36</v>
          </cell>
          <cell r="P36">
            <v>36</v>
          </cell>
          <cell r="T36">
            <v>33</v>
          </cell>
          <cell r="U36" t="str">
            <v xml:space="preserve">Industrial </v>
          </cell>
          <cell r="X36">
            <v>36</v>
          </cell>
          <cell r="Y36">
            <v>36</v>
          </cell>
          <cell r="Z36">
            <v>36</v>
          </cell>
          <cell r="AA36">
            <v>36</v>
          </cell>
          <cell r="AB36">
            <v>36</v>
          </cell>
          <cell r="AC36">
            <v>36</v>
          </cell>
          <cell r="AD36">
            <v>35</v>
          </cell>
          <cell r="AE36">
            <v>35</v>
          </cell>
          <cell r="AF36">
            <v>35</v>
          </cell>
          <cell r="AG36">
            <v>35</v>
          </cell>
          <cell r="AH36">
            <v>35</v>
          </cell>
          <cell r="AI36">
            <v>35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13073</v>
          </cell>
          <cell r="F38">
            <v>13114</v>
          </cell>
          <cell r="G38">
            <v>13139</v>
          </cell>
          <cell r="H38">
            <v>13125</v>
          </cell>
          <cell r="I38">
            <v>13060</v>
          </cell>
          <cell r="J38">
            <v>12965</v>
          </cell>
          <cell r="K38">
            <v>12883</v>
          </cell>
          <cell r="L38">
            <v>12817</v>
          </cell>
          <cell r="M38">
            <v>12769</v>
          </cell>
          <cell r="N38">
            <v>12734</v>
          </cell>
          <cell r="O38">
            <v>12728</v>
          </cell>
          <cell r="P38">
            <v>12755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12813</v>
          </cell>
          <cell r="Y38">
            <v>12856</v>
          </cell>
          <cell r="Z38">
            <v>12881</v>
          </cell>
          <cell r="AA38">
            <v>12884</v>
          </cell>
          <cell r="AB38">
            <v>12837</v>
          </cell>
          <cell r="AC38">
            <v>12767</v>
          </cell>
          <cell r="AD38">
            <v>12704</v>
          </cell>
          <cell r="AE38">
            <v>12649</v>
          </cell>
          <cell r="AF38">
            <v>12609</v>
          </cell>
          <cell r="AG38">
            <v>12587</v>
          </cell>
          <cell r="AH38">
            <v>12588</v>
          </cell>
          <cell r="AI38">
            <v>12615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100180</v>
          </cell>
          <cell r="F41">
            <v>228035</v>
          </cell>
          <cell r="G41">
            <v>329779</v>
          </cell>
          <cell r="H41">
            <v>387683</v>
          </cell>
          <cell r="I41">
            <v>412259</v>
          </cell>
          <cell r="J41">
            <v>423327</v>
          </cell>
          <cell r="K41">
            <v>432276</v>
          </cell>
          <cell r="L41">
            <v>440445</v>
          </cell>
          <cell r="M41">
            <v>450028</v>
          </cell>
          <cell r="N41">
            <v>461264</v>
          </cell>
          <cell r="O41">
            <v>492808</v>
          </cell>
          <cell r="P41">
            <v>563905</v>
          </cell>
          <cell r="T41">
            <v>38</v>
          </cell>
          <cell r="U41" t="str">
            <v>Residential</v>
          </cell>
          <cell r="X41">
            <v>89494</v>
          </cell>
          <cell r="Y41">
            <v>191624</v>
          </cell>
          <cell r="Z41">
            <v>281239</v>
          </cell>
          <cell r="AA41">
            <v>347290</v>
          </cell>
          <cell r="AB41">
            <v>372505</v>
          </cell>
          <cell r="AC41">
            <v>384711</v>
          </cell>
          <cell r="AD41">
            <v>393543</v>
          </cell>
          <cell r="AE41">
            <v>402350</v>
          </cell>
          <cell r="AF41">
            <v>411641</v>
          </cell>
          <cell r="AG41">
            <v>423555</v>
          </cell>
          <cell r="AH41">
            <v>458850</v>
          </cell>
          <cell r="AI41">
            <v>533386</v>
          </cell>
        </row>
        <row r="42">
          <cell r="A42">
            <v>39</v>
          </cell>
          <cell r="B42" t="str">
            <v>Commercial</v>
          </cell>
          <cell r="E42">
            <v>129500</v>
          </cell>
          <cell r="F42">
            <v>274459</v>
          </cell>
          <cell r="G42">
            <v>402154</v>
          </cell>
          <cell r="H42">
            <v>480791</v>
          </cell>
          <cell r="I42">
            <v>529366</v>
          </cell>
          <cell r="J42">
            <v>563495</v>
          </cell>
          <cell r="K42">
            <v>596601</v>
          </cell>
          <cell r="L42">
            <v>627582</v>
          </cell>
          <cell r="M42">
            <v>662546</v>
          </cell>
          <cell r="N42">
            <v>704579</v>
          </cell>
          <cell r="O42">
            <v>767289</v>
          </cell>
          <cell r="P42">
            <v>869825</v>
          </cell>
          <cell r="T42">
            <v>39</v>
          </cell>
          <cell r="U42" t="str">
            <v>Commercial</v>
          </cell>
          <cell r="X42">
            <v>117589</v>
          </cell>
          <cell r="Y42">
            <v>238840</v>
          </cell>
          <cell r="Z42">
            <v>352034</v>
          </cell>
          <cell r="AA42">
            <v>433515</v>
          </cell>
          <cell r="AB42">
            <v>483562</v>
          </cell>
          <cell r="AC42">
            <v>517672</v>
          </cell>
          <cell r="AD42">
            <v>549342</v>
          </cell>
          <cell r="AE42">
            <v>583902</v>
          </cell>
          <cell r="AF42">
            <v>619234</v>
          </cell>
          <cell r="AG42">
            <v>664365</v>
          </cell>
          <cell r="AH42">
            <v>728978</v>
          </cell>
          <cell r="AI42">
            <v>836749</v>
          </cell>
        </row>
        <row r="43">
          <cell r="A43">
            <v>40</v>
          </cell>
          <cell r="B43" t="str">
            <v xml:space="preserve">Industrial </v>
          </cell>
          <cell r="E43">
            <v>113534</v>
          </cell>
          <cell r="F43">
            <v>229958</v>
          </cell>
          <cell r="G43">
            <v>341866</v>
          </cell>
          <cell r="H43">
            <v>449249</v>
          </cell>
          <cell r="I43">
            <v>555731</v>
          </cell>
          <cell r="J43">
            <v>651340</v>
          </cell>
          <cell r="K43">
            <v>755001</v>
          </cell>
          <cell r="L43">
            <v>850622</v>
          </cell>
          <cell r="M43">
            <v>966746</v>
          </cell>
          <cell r="N43">
            <v>1103531</v>
          </cell>
          <cell r="O43">
            <v>1230090</v>
          </cell>
          <cell r="P43">
            <v>1374405</v>
          </cell>
          <cell r="T43">
            <v>40</v>
          </cell>
          <cell r="U43" t="str">
            <v xml:space="preserve">Industrial </v>
          </cell>
          <cell r="X43">
            <v>119756</v>
          </cell>
          <cell r="Y43">
            <v>229314</v>
          </cell>
          <cell r="Z43">
            <v>338978</v>
          </cell>
          <cell r="AA43">
            <v>444460</v>
          </cell>
          <cell r="AB43">
            <v>534669</v>
          </cell>
          <cell r="AC43">
            <v>598724</v>
          </cell>
          <cell r="AD43">
            <v>689505</v>
          </cell>
          <cell r="AE43">
            <v>786142</v>
          </cell>
          <cell r="AF43">
            <v>896735</v>
          </cell>
          <cell r="AG43">
            <v>1024741</v>
          </cell>
          <cell r="AH43">
            <v>1142836</v>
          </cell>
          <cell r="AI43">
            <v>1272782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E45">
            <v>343214</v>
          </cell>
          <cell r="F45">
            <v>732452</v>
          </cell>
          <cell r="G45">
            <v>1073799</v>
          </cell>
          <cell r="H45">
            <v>1317723</v>
          </cell>
          <cell r="I45">
            <v>1497356</v>
          </cell>
          <cell r="J45">
            <v>1638162</v>
          </cell>
          <cell r="K45">
            <v>1783878</v>
          </cell>
          <cell r="L45">
            <v>1918649</v>
          </cell>
          <cell r="M45">
            <v>2079320</v>
          </cell>
          <cell r="N45">
            <v>2269374</v>
          </cell>
          <cell r="O45">
            <v>2490187</v>
          </cell>
          <cell r="P45">
            <v>2808135</v>
          </cell>
          <cell r="T45">
            <v>42</v>
          </cell>
          <cell r="U45" t="str">
            <v>Total customers</v>
          </cell>
          <cell r="X45">
            <v>326839</v>
          </cell>
          <cell r="Y45">
            <v>659778</v>
          </cell>
          <cell r="Z45">
            <v>972251</v>
          </cell>
          <cell r="AA45">
            <v>1225265</v>
          </cell>
          <cell r="AB45">
            <v>1390736</v>
          </cell>
          <cell r="AC45">
            <v>1501107</v>
          </cell>
          <cell r="AD45">
            <v>1632390</v>
          </cell>
          <cell r="AE45">
            <v>1772394</v>
          </cell>
          <cell r="AF45">
            <v>1927610</v>
          </cell>
          <cell r="AG45">
            <v>2112661</v>
          </cell>
          <cell r="AH45">
            <v>2330664</v>
          </cell>
          <cell r="AI45">
            <v>2642917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106677</v>
          </cell>
          <cell r="F48">
            <v>241391</v>
          </cell>
          <cell r="G48">
            <v>348559</v>
          </cell>
          <cell r="H48">
            <v>409732</v>
          </cell>
          <cell r="I48">
            <v>435731</v>
          </cell>
          <cell r="J48">
            <v>447459</v>
          </cell>
          <cell r="K48">
            <v>457008</v>
          </cell>
          <cell r="L48">
            <v>465721</v>
          </cell>
          <cell r="M48">
            <v>475919</v>
          </cell>
          <cell r="N48">
            <v>487884</v>
          </cell>
          <cell r="O48">
            <v>521549</v>
          </cell>
          <cell r="P48">
            <v>597414</v>
          </cell>
          <cell r="T48">
            <v>45</v>
          </cell>
          <cell r="U48" t="str">
            <v>Residential</v>
          </cell>
          <cell r="X48">
            <v>92898</v>
          </cell>
          <cell r="Y48">
            <v>198786</v>
          </cell>
          <cell r="Z48">
            <v>291652</v>
          </cell>
          <cell r="AA48">
            <v>359673</v>
          </cell>
          <cell r="AB48">
            <v>385765</v>
          </cell>
          <cell r="AC48">
            <v>398531</v>
          </cell>
          <cell r="AD48">
            <v>407896</v>
          </cell>
          <cell r="AE48">
            <v>417271</v>
          </cell>
          <cell r="AF48">
            <v>427253</v>
          </cell>
          <cell r="AG48">
            <v>440022</v>
          </cell>
          <cell r="AH48">
            <v>478017</v>
          </cell>
          <cell r="AI48">
            <v>557718</v>
          </cell>
        </row>
        <row r="49">
          <cell r="A49">
            <v>46</v>
          </cell>
          <cell r="B49" t="str">
            <v>Commercial</v>
          </cell>
          <cell r="E49">
            <v>137898</v>
          </cell>
          <cell r="F49">
            <v>290634</v>
          </cell>
          <cell r="G49">
            <v>425136</v>
          </cell>
          <cell r="H49">
            <v>508212</v>
          </cell>
          <cell r="I49">
            <v>559599</v>
          </cell>
          <cell r="J49">
            <v>595762</v>
          </cell>
          <cell r="K49">
            <v>631088</v>
          </cell>
          <cell r="L49">
            <v>664132</v>
          </cell>
          <cell r="M49">
            <v>701341</v>
          </cell>
          <cell r="N49">
            <v>746100</v>
          </cell>
          <cell r="O49">
            <v>813027</v>
          </cell>
          <cell r="P49">
            <v>922440</v>
          </cell>
          <cell r="T49">
            <v>46</v>
          </cell>
          <cell r="U49" t="str">
            <v>Commercial</v>
          </cell>
          <cell r="X49">
            <v>122062</v>
          </cell>
          <cell r="Y49">
            <v>247775</v>
          </cell>
          <cell r="Z49">
            <v>365076</v>
          </cell>
          <cell r="AA49">
            <v>448987</v>
          </cell>
          <cell r="AB49">
            <v>500775</v>
          </cell>
          <cell r="AC49">
            <v>536450</v>
          </cell>
          <cell r="AD49">
            <v>570030</v>
          </cell>
          <cell r="AE49">
            <v>606818</v>
          </cell>
          <cell r="AF49">
            <v>644776</v>
          </cell>
          <cell r="AG49">
            <v>693147</v>
          </cell>
          <cell r="AH49">
            <v>762703</v>
          </cell>
          <cell r="AI49">
            <v>877941</v>
          </cell>
        </row>
        <row r="50">
          <cell r="A50">
            <v>47</v>
          </cell>
          <cell r="B50" t="str">
            <v xml:space="preserve">Industrial </v>
          </cell>
          <cell r="E50">
            <v>120897</v>
          </cell>
          <cell r="F50">
            <v>243567</v>
          </cell>
          <cell r="G50">
            <v>361441</v>
          </cell>
          <cell r="H50">
            <v>474886</v>
          </cell>
          <cell r="I50">
            <v>587532</v>
          </cell>
          <cell r="J50">
            <v>688838</v>
          </cell>
          <cell r="K50">
            <v>799449</v>
          </cell>
          <cell r="L50">
            <v>901438</v>
          </cell>
          <cell r="M50">
            <v>1025019</v>
          </cell>
          <cell r="N50">
            <v>1170676</v>
          </cell>
          <cell r="O50">
            <v>1305745</v>
          </cell>
          <cell r="P50">
            <v>1459739</v>
          </cell>
          <cell r="T50">
            <v>47</v>
          </cell>
          <cell r="U50" t="str">
            <v xml:space="preserve">Industrial </v>
          </cell>
          <cell r="X50">
            <v>124312</v>
          </cell>
          <cell r="Y50">
            <v>237902</v>
          </cell>
          <cell r="Z50">
            <v>351545</v>
          </cell>
          <cell r="AA50">
            <v>460172</v>
          </cell>
          <cell r="AB50">
            <v>553518</v>
          </cell>
          <cell r="AC50">
            <v>620512</v>
          </cell>
          <cell r="AD50">
            <v>716769</v>
          </cell>
          <cell r="AE50">
            <v>819635</v>
          </cell>
          <cell r="AF50">
            <v>938448</v>
          </cell>
          <cell r="AG50">
            <v>1075645</v>
          </cell>
          <cell r="AH50">
            <v>1202774</v>
          </cell>
          <cell r="AI50">
            <v>1341724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365472</v>
          </cell>
          <cell r="F52">
            <v>775592</v>
          </cell>
          <cell r="G52">
            <v>1135136</v>
          </cell>
          <cell r="H52">
            <v>1392830</v>
          </cell>
          <cell r="I52">
            <v>1582862</v>
          </cell>
          <cell r="J52">
            <v>1732059</v>
          </cell>
          <cell r="K52">
            <v>1887545</v>
          </cell>
          <cell r="L52">
            <v>2031291</v>
          </cell>
          <cell r="M52">
            <v>2202279</v>
          </cell>
          <cell r="N52">
            <v>2404660</v>
          </cell>
          <cell r="O52">
            <v>2640321</v>
          </cell>
          <cell r="P52">
            <v>2979593</v>
          </cell>
          <cell r="T52">
            <v>49</v>
          </cell>
          <cell r="U52" t="str">
            <v>Total Volume</v>
          </cell>
          <cell r="W52">
            <v>0</v>
          </cell>
          <cell r="X52">
            <v>339272</v>
          </cell>
          <cell r="Y52">
            <v>684463</v>
          </cell>
          <cell r="Z52">
            <v>1008273</v>
          </cell>
          <cell r="AA52">
            <v>1268832</v>
          </cell>
          <cell r="AB52">
            <v>1440058</v>
          </cell>
          <cell r="AC52">
            <v>1555493</v>
          </cell>
          <cell r="AD52">
            <v>1694695</v>
          </cell>
          <cell r="AE52">
            <v>1843724</v>
          </cell>
          <cell r="AF52">
            <v>2010477</v>
          </cell>
          <cell r="AG52">
            <v>2208814</v>
          </cell>
          <cell r="AH52">
            <v>2443494</v>
          </cell>
          <cell r="AI52">
            <v>2777383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13021</v>
          </cell>
          <cell r="F55">
            <v>13069</v>
          </cell>
          <cell r="G55">
            <v>13087</v>
          </cell>
          <cell r="H55">
            <v>13090</v>
          </cell>
          <cell r="I55">
            <v>13056</v>
          </cell>
          <cell r="J55">
            <v>12976</v>
          </cell>
          <cell r="K55">
            <v>12921</v>
          </cell>
          <cell r="L55">
            <v>12882</v>
          </cell>
          <cell r="M55">
            <v>12865</v>
          </cell>
          <cell r="N55">
            <v>12868</v>
          </cell>
          <cell r="O55">
            <v>12906</v>
          </cell>
          <cell r="P55">
            <v>12973</v>
          </cell>
        </row>
        <row r="56">
          <cell r="A56">
            <v>53</v>
          </cell>
          <cell r="B56" t="str">
            <v>Cumulative Budget YTD Volume (Mcfs)</v>
          </cell>
          <cell r="E56">
            <v>352630</v>
          </cell>
          <cell r="F56">
            <v>695658</v>
          </cell>
          <cell r="G56">
            <v>1004193</v>
          </cell>
          <cell r="H56">
            <v>1254002</v>
          </cell>
          <cell r="I56">
            <v>1421744</v>
          </cell>
          <cell r="J56">
            <v>1535326</v>
          </cell>
          <cell r="K56">
            <v>1675734</v>
          </cell>
          <cell r="L56">
            <v>1828485</v>
          </cell>
          <cell r="M56">
            <v>1991712</v>
          </cell>
          <cell r="N56">
            <v>2177033</v>
          </cell>
          <cell r="O56">
            <v>2429253</v>
          </cell>
          <cell r="P56">
            <v>2729052</v>
          </cell>
        </row>
        <row r="57">
          <cell r="A57">
            <v>54</v>
          </cell>
          <cell r="B57" t="str">
            <v>Cumulative YTD Budget Volume (Dts) * 1.035</v>
          </cell>
          <cell r="E57">
            <v>364972.05</v>
          </cell>
          <cell r="F57">
            <v>720006.03</v>
          </cell>
          <cell r="G57">
            <v>1039339.755</v>
          </cell>
          <cell r="H57">
            <v>1297892.07</v>
          </cell>
          <cell r="I57">
            <v>1471505.04</v>
          </cell>
          <cell r="J57">
            <v>1589062.4100000001</v>
          </cell>
          <cell r="K57">
            <v>1734384.6900000002</v>
          </cell>
          <cell r="L57">
            <v>1892481.9750000001</v>
          </cell>
          <cell r="M57">
            <v>2061421.9200000002</v>
          </cell>
          <cell r="N57">
            <v>2253229.1550000003</v>
          </cell>
          <cell r="O57">
            <v>2514276.8550000004</v>
          </cell>
          <cell r="P57">
            <v>2824568.8200000003</v>
          </cell>
        </row>
      </sheetData>
      <sheetData sheetId="12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</row>
        <row r="5">
          <cell r="A5">
            <v>2</v>
          </cell>
          <cell r="B5" t="str">
            <v>Residential</v>
          </cell>
          <cell r="D5">
            <v>9817.9166666666661</v>
          </cell>
          <cell r="E5">
            <v>9864</v>
          </cell>
          <cell r="F5">
            <v>9905</v>
          </cell>
          <cell r="G5">
            <v>9879</v>
          </cell>
          <cell r="H5">
            <v>9835</v>
          </cell>
          <cell r="I5">
            <v>9792</v>
          </cell>
          <cell r="J5">
            <v>9796</v>
          </cell>
          <cell r="K5">
            <v>9785</v>
          </cell>
          <cell r="L5">
            <v>9788</v>
          </cell>
          <cell r="M5">
            <v>9785</v>
          </cell>
          <cell r="N5">
            <v>9786</v>
          </cell>
          <cell r="O5">
            <v>9798</v>
          </cell>
          <cell r="P5">
            <v>9802</v>
          </cell>
        </row>
        <row r="6">
          <cell r="A6">
            <v>3</v>
          </cell>
          <cell r="B6" t="str">
            <v>Commercial</v>
          </cell>
          <cell r="D6">
            <v>1084.9166666666667</v>
          </cell>
          <cell r="E6">
            <v>1066</v>
          </cell>
          <cell r="F6">
            <v>1063</v>
          </cell>
          <cell r="G6">
            <v>1055</v>
          </cell>
          <cell r="H6">
            <v>1058</v>
          </cell>
          <cell r="I6">
            <v>1095</v>
          </cell>
          <cell r="J6">
            <v>1112</v>
          </cell>
          <cell r="K6">
            <v>1108</v>
          </cell>
          <cell r="L6">
            <v>1109</v>
          </cell>
          <cell r="M6">
            <v>1110</v>
          </cell>
          <cell r="N6">
            <v>1094</v>
          </cell>
          <cell r="O6">
            <v>1078</v>
          </cell>
          <cell r="P6">
            <v>1071</v>
          </cell>
        </row>
        <row r="7">
          <cell r="A7">
            <v>4</v>
          </cell>
          <cell r="B7" t="str">
            <v xml:space="preserve">Industrial </v>
          </cell>
          <cell r="D7">
            <v>3.8333333333333335</v>
          </cell>
          <cell r="E7">
            <v>3</v>
          </cell>
          <cell r="F7">
            <v>3</v>
          </cell>
          <cell r="G7">
            <v>3</v>
          </cell>
          <cell r="H7">
            <v>3</v>
          </cell>
          <cell r="I7">
            <v>4</v>
          </cell>
          <cell r="J7">
            <v>4</v>
          </cell>
          <cell r="K7">
            <v>4</v>
          </cell>
          <cell r="L7">
            <v>4</v>
          </cell>
          <cell r="M7">
            <v>5</v>
          </cell>
          <cell r="N7">
            <v>5</v>
          </cell>
          <cell r="O7">
            <v>4</v>
          </cell>
          <cell r="P7">
            <v>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6</v>
          </cell>
          <cell r="B9" t="str">
            <v>Total customers</v>
          </cell>
          <cell r="D9">
            <v>10906.666666666666</v>
          </cell>
          <cell r="E9">
            <v>10933</v>
          </cell>
          <cell r="F9">
            <v>10971</v>
          </cell>
          <cell r="G9">
            <v>10937</v>
          </cell>
          <cell r="H9">
            <v>10896</v>
          </cell>
          <cell r="I9">
            <v>10891</v>
          </cell>
          <cell r="J9">
            <v>10912</v>
          </cell>
          <cell r="K9">
            <v>10897</v>
          </cell>
          <cell r="L9">
            <v>10901</v>
          </cell>
          <cell r="M9">
            <v>10900</v>
          </cell>
          <cell r="N9">
            <v>10885</v>
          </cell>
          <cell r="O9">
            <v>10880</v>
          </cell>
          <cell r="P9">
            <v>10877</v>
          </cell>
        </row>
        <row r="10">
          <cell r="A10">
            <v>7</v>
          </cell>
        </row>
        <row r="11">
          <cell r="A11">
            <v>8</v>
          </cell>
          <cell r="B11" t="str">
            <v>Volume - 2014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</row>
        <row r="12">
          <cell r="A12">
            <v>9</v>
          </cell>
          <cell r="B12" t="str">
            <v>Residential</v>
          </cell>
          <cell r="D12">
            <v>288689</v>
          </cell>
          <cell r="E12">
            <v>48102</v>
          </cell>
          <cell r="F12">
            <v>67496</v>
          </cell>
          <cell r="G12">
            <v>52335</v>
          </cell>
          <cell r="H12">
            <v>26822</v>
          </cell>
          <cell r="I12">
            <v>11233</v>
          </cell>
          <cell r="J12">
            <v>6193</v>
          </cell>
          <cell r="K12">
            <v>6203</v>
          </cell>
          <cell r="L12">
            <v>6553</v>
          </cell>
          <cell r="M12">
            <v>5561</v>
          </cell>
          <cell r="N12">
            <v>6410</v>
          </cell>
          <cell r="O12">
            <v>17531</v>
          </cell>
          <cell r="P12">
            <v>34250</v>
          </cell>
        </row>
        <row r="13">
          <cell r="A13">
            <v>10</v>
          </cell>
          <cell r="B13" t="str">
            <v>Commercial</v>
          </cell>
          <cell r="D13">
            <v>393583</v>
          </cell>
          <cell r="E13">
            <v>31951</v>
          </cell>
          <cell r="F13">
            <v>39769</v>
          </cell>
          <cell r="G13">
            <v>36360</v>
          </cell>
          <cell r="H13">
            <v>28666</v>
          </cell>
          <cell r="I13">
            <v>24099</v>
          </cell>
          <cell r="J13">
            <v>26219</v>
          </cell>
          <cell r="K13">
            <v>31575</v>
          </cell>
          <cell r="L13">
            <v>41312</v>
          </cell>
          <cell r="M13">
            <v>38617</v>
          </cell>
          <cell r="N13">
            <v>32900</v>
          </cell>
          <cell r="O13">
            <v>28367</v>
          </cell>
          <cell r="P13">
            <v>33748</v>
          </cell>
        </row>
        <row r="14">
          <cell r="A14">
            <v>11</v>
          </cell>
          <cell r="B14" t="str">
            <v xml:space="preserve">Industrial </v>
          </cell>
          <cell r="D14">
            <v>68501</v>
          </cell>
          <cell r="E14">
            <v>0</v>
          </cell>
          <cell r="F14">
            <v>0</v>
          </cell>
          <cell r="G14">
            <v>264</v>
          </cell>
          <cell r="H14">
            <v>2472</v>
          </cell>
          <cell r="I14">
            <v>5590</v>
          </cell>
          <cell r="J14">
            <v>6759</v>
          </cell>
          <cell r="K14">
            <v>6910</v>
          </cell>
          <cell r="L14">
            <v>5566</v>
          </cell>
          <cell r="M14">
            <v>9559</v>
          </cell>
          <cell r="N14">
            <v>12552</v>
          </cell>
          <cell r="O14">
            <v>10986</v>
          </cell>
          <cell r="P14">
            <v>7843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13</v>
          </cell>
          <cell r="B16" t="str">
            <v>Total customers</v>
          </cell>
          <cell r="D16">
            <v>750773</v>
          </cell>
          <cell r="E16">
            <v>80053</v>
          </cell>
          <cell r="F16">
            <v>107265</v>
          </cell>
          <cell r="G16">
            <v>88959</v>
          </cell>
          <cell r="H16">
            <v>57960</v>
          </cell>
          <cell r="I16">
            <v>40922</v>
          </cell>
          <cell r="J16">
            <v>39171</v>
          </cell>
          <cell r="K16">
            <v>44688</v>
          </cell>
          <cell r="L16">
            <v>53431</v>
          </cell>
          <cell r="M16">
            <v>53737</v>
          </cell>
          <cell r="N16">
            <v>51862</v>
          </cell>
          <cell r="O16">
            <v>56884</v>
          </cell>
          <cell r="P16">
            <v>75841</v>
          </cell>
        </row>
        <row r="17">
          <cell r="A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1.0648500000000001</v>
          </cell>
          <cell r="F18">
            <v>1.05365</v>
          </cell>
          <cell r="G18">
            <v>1.05331</v>
          </cell>
          <cell r="H18">
            <v>1.0564499999999999</v>
          </cell>
          <cell r="I18">
            <v>1.05789</v>
          </cell>
          <cell r="J18">
            <v>1.05959</v>
          </cell>
          <cell r="K18">
            <v>1.0670500000000001</v>
          </cell>
          <cell r="L18">
            <v>1.0666</v>
          </cell>
          <cell r="M18">
            <v>1.0642199999999999</v>
          </cell>
          <cell r="N18">
            <v>1.0648599999999999</v>
          </cell>
          <cell r="O18">
            <v>1.06724</v>
          </cell>
          <cell r="P18">
            <v>1.06707</v>
          </cell>
        </row>
        <row r="19">
          <cell r="A19">
            <v>16</v>
          </cell>
        </row>
        <row r="20">
          <cell r="A20">
            <v>17</v>
          </cell>
          <cell r="B20" t="str">
            <v xml:space="preserve">Volume - 2014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</row>
        <row r="21">
          <cell r="A21">
            <v>18</v>
          </cell>
          <cell r="B21" t="str">
            <v>Residential</v>
          </cell>
          <cell r="D21">
            <v>305853</v>
          </cell>
          <cell r="E21">
            <v>51221</v>
          </cell>
          <cell r="F21">
            <v>71117</v>
          </cell>
          <cell r="G21">
            <v>55125</v>
          </cell>
          <cell r="H21">
            <v>28336</v>
          </cell>
          <cell r="I21">
            <v>11883</v>
          </cell>
          <cell r="J21">
            <v>6562</v>
          </cell>
          <cell r="K21">
            <v>6619</v>
          </cell>
          <cell r="L21">
            <v>6989</v>
          </cell>
          <cell r="M21">
            <v>5918</v>
          </cell>
          <cell r="N21">
            <v>6826</v>
          </cell>
          <cell r="O21">
            <v>18710</v>
          </cell>
          <cell r="P21">
            <v>36547</v>
          </cell>
        </row>
        <row r="22">
          <cell r="A22">
            <v>19</v>
          </cell>
          <cell r="B22" t="str">
            <v>Commercial</v>
          </cell>
          <cell r="D22">
            <v>417954</v>
          </cell>
          <cell r="E22">
            <v>34023</v>
          </cell>
          <cell r="F22">
            <v>41903</v>
          </cell>
          <cell r="G22">
            <v>38298</v>
          </cell>
          <cell r="H22">
            <v>30284</v>
          </cell>
          <cell r="I22">
            <v>25494</v>
          </cell>
          <cell r="J22">
            <v>27781</v>
          </cell>
          <cell r="K22">
            <v>33692</v>
          </cell>
          <cell r="L22">
            <v>44063</v>
          </cell>
          <cell r="M22">
            <v>41097</v>
          </cell>
          <cell r="N22">
            <v>35034</v>
          </cell>
          <cell r="O22">
            <v>30274</v>
          </cell>
          <cell r="P22">
            <v>36011</v>
          </cell>
        </row>
        <row r="23">
          <cell r="A23">
            <v>20</v>
          </cell>
          <cell r="B23" t="str">
            <v xml:space="preserve">Industrial </v>
          </cell>
          <cell r="D23">
            <v>72909</v>
          </cell>
          <cell r="E23">
            <v>0</v>
          </cell>
          <cell r="F23">
            <v>0</v>
          </cell>
          <cell r="G23">
            <v>278</v>
          </cell>
          <cell r="H23">
            <v>2612</v>
          </cell>
          <cell r="I23">
            <v>5914</v>
          </cell>
          <cell r="J23">
            <v>7162</v>
          </cell>
          <cell r="K23">
            <v>7373</v>
          </cell>
          <cell r="L23">
            <v>5937</v>
          </cell>
          <cell r="M23">
            <v>10173</v>
          </cell>
          <cell r="N23">
            <v>13366</v>
          </cell>
          <cell r="O23">
            <v>11725</v>
          </cell>
          <cell r="P23">
            <v>8369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22</v>
          </cell>
          <cell r="B25" t="str">
            <v>Total Volume</v>
          </cell>
          <cell r="D25">
            <v>796716</v>
          </cell>
          <cell r="E25">
            <v>85244</v>
          </cell>
          <cell r="F25">
            <v>113020</v>
          </cell>
          <cell r="G25">
            <v>93701</v>
          </cell>
          <cell r="H25">
            <v>61232</v>
          </cell>
          <cell r="I25">
            <v>43291</v>
          </cell>
          <cell r="J25">
            <v>41505</v>
          </cell>
          <cell r="K25">
            <v>47684</v>
          </cell>
          <cell r="L25">
            <v>56989</v>
          </cell>
          <cell r="M25">
            <v>57188</v>
          </cell>
          <cell r="N25">
            <v>55226</v>
          </cell>
          <cell r="O25">
            <v>60709</v>
          </cell>
          <cell r="P25">
            <v>80927</v>
          </cell>
        </row>
        <row r="26">
          <cell r="A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</row>
        <row r="28">
          <cell r="A28">
            <v>25</v>
          </cell>
          <cell r="B28" t="str">
            <v xml:space="preserve">Customers </v>
          </cell>
          <cell r="E28">
            <v>10941</v>
          </cell>
          <cell r="F28">
            <v>10954</v>
          </cell>
          <cell r="G28">
            <v>10935</v>
          </cell>
          <cell r="H28">
            <v>11006</v>
          </cell>
          <cell r="I28">
            <v>11085</v>
          </cell>
          <cell r="J28">
            <v>11092</v>
          </cell>
          <cell r="K28">
            <v>11132</v>
          </cell>
          <cell r="L28">
            <v>11180</v>
          </cell>
          <cell r="M28">
            <v>11220</v>
          </cell>
          <cell r="N28">
            <v>11274</v>
          </cell>
          <cell r="O28">
            <v>11299</v>
          </cell>
          <cell r="P28">
            <v>11385</v>
          </cell>
        </row>
        <row r="29">
          <cell r="A29">
            <v>26</v>
          </cell>
          <cell r="B29" t="str">
            <v>Budget Volume (Mcfs)</v>
          </cell>
          <cell r="E29">
            <v>97484</v>
          </cell>
          <cell r="F29">
            <v>107718</v>
          </cell>
          <cell r="G29">
            <v>90203</v>
          </cell>
          <cell r="H29">
            <v>78617</v>
          </cell>
          <cell r="I29">
            <v>51527</v>
          </cell>
          <cell r="J29">
            <v>51293</v>
          </cell>
          <cell r="K29">
            <v>51609</v>
          </cell>
          <cell r="L29">
            <v>50691</v>
          </cell>
          <cell r="M29">
            <v>51428</v>
          </cell>
          <cell r="N29">
            <v>41082</v>
          </cell>
          <cell r="O29">
            <v>54006</v>
          </cell>
          <cell r="P29">
            <v>75774</v>
          </cell>
        </row>
        <row r="30">
          <cell r="A30">
            <v>27</v>
          </cell>
          <cell r="B30" t="str">
            <v>Budget Volume (Dts) * 1.035</v>
          </cell>
          <cell r="E30">
            <v>100895.93999999999</v>
          </cell>
          <cell r="F30">
            <v>111488.12999999999</v>
          </cell>
          <cell r="G30">
            <v>93360.104999999996</v>
          </cell>
          <cell r="H30">
            <v>81368.594999999987</v>
          </cell>
          <cell r="I30">
            <v>53330.444999999992</v>
          </cell>
          <cell r="J30">
            <v>53088.254999999997</v>
          </cell>
          <cell r="K30">
            <v>53415.314999999995</v>
          </cell>
          <cell r="L30">
            <v>52465.184999999998</v>
          </cell>
          <cell r="M30">
            <v>53227.979999999996</v>
          </cell>
          <cell r="N30">
            <v>42519.869999999995</v>
          </cell>
          <cell r="O30">
            <v>55896.21</v>
          </cell>
          <cell r="P30">
            <v>78426.09</v>
          </cell>
        </row>
        <row r="31">
          <cell r="A31">
            <v>28</v>
          </cell>
        </row>
        <row r="32">
          <cell r="A32">
            <v>29</v>
          </cell>
          <cell r="B32" t="str">
            <v>YTD/CUMULATIVE SECTION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</row>
        <row r="34">
          <cell r="A34">
            <v>31</v>
          </cell>
          <cell r="B34" t="str">
            <v>Residential</v>
          </cell>
          <cell r="E34">
            <v>9864</v>
          </cell>
          <cell r="F34">
            <v>9885</v>
          </cell>
          <cell r="G34">
            <v>9883</v>
          </cell>
          <cell r="H34">
            <v>9871</v>
          </cell>
          <cell r="I34">
            <v>9855</v>
          </cell>
          <cell r="J34">
            <v>9845</v>
          </cell>
          <cell r="K34">
            <v>9837</v>
          </cell>
          <cell r="L34">
            <v>9831</v>
          </cell>
          <cell r="M34">
            <v>9825</v>
          </cell>
          <cell r="N34">
            <v>9822</v>
          </cell>
          <cell r="O34">
            <v>9819</v>
          </cell>
          <cell r="P34">
            <v>9818</v>
          </cell>
        </row>
        <row r="35">
          <cell r="A35">
            <v>32</v>
          </cell>
          <cell r="B35" t="str">
            <v>Commercial</v>
          </cell>
          <cell r="E35">
            <v>1066</v>
          </cell>
          <cell r="F35">
            <v>1065</v>
          </cell>
          <cell r="G35">
            <v>1061</v>
          </cell>
          <cell r="H35">
            <v>1061</v>
          </cell>
          <cell r="I35">
            <v>1067</v>
          </cell>
          <cell r="J35">
            <v>1075</v>
          </cell>
          <cell r="K35">
            <v>1080</v>
          </cell>
          <cell r="L35">
            <v>1083</v>
          </cell>
          <cell r="M35">
            <v>1086</v>
          </cell>
          <cell r="N35">
            <v>1087</v>
          </cell>
          <cell r="O35">
            <v>1086</v>
          </cell>
          <cell r="P35">
            <v>1085</v>
          </cell>
        </row>
        <row r="36">
          <cell r="A36">
            <v>33</v>
          </cell>
          <cell r="B36" t="str">
            <v xml:space="preserve">Industrial </v>
          </cell>
          <cell r="E36">
            <v>3</v>
          </cell>
          <cell r="F36">
            <v>3</v>
          </cell>
          <cell r="G36">
            <v>3</v>
          </cell>
          <cell r="H36">
            <v>3</v>
          </cell>
          <cell r="I36">
            <v>3</v>
          </cell>
          <cell r="J36">
            <v>3</v>
          </cell>
          <cell r="K36">
            <v>3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10933</v>
          </cell>
          <cell r="F38">
            <v>10953</v>
          </cell>
          <cell r="G38">
            <v>10947</v>
          </cell>
          <cell r="H38">
            <v>10935</v>
          </cell>
          <cell r="I38">
            <v>10925</v>
          </cell>
          <cell r="J38">
            <v>10923</v>
          </cell>
          <cell r="K38">
            <v>10920</v>
          </cell>
          <cell r="L38">
            <v>10918</v>
          </cell>
          <cell r="M38">
            <v>10915</v>
          </cell>
          <cell r="N38">
            <v>10913</v>
          </cell>
          <cell r="O38">
            <v>10909</v>
          </cell>
          <cell r="P38">
            <v>10907</v>
          </cell>
        </row>
        <row r="39">
          <cell r="A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</row>
        <row r="41">
          <cell r="A41">
            <v>38</v>
          </cell>
          <cell r="B41" t="str">
            <v>Residential</v>
          </cell>
          <cell r="E41">
            <v>48102</v>
          </cell>
          <cell r="F41">
            <v>115598</v>
          </cell>
          <cell r="G41">
            <v>167933</v>
          </cell>
          <cell r="H41">
            <v>194755</v>
          </cell>
          <cell r="I41">
            <v>205988</v>
          </cell>
          <cell r="J41">
            <v>212181</v>
          </cell>
          <cell r="K41">
            <v>218384</v>
          </cell>
          <cell r="L41">
            <v>224937</v>
          </cell>
          <cell r="M41">
            <v>230498</v>
          </cell>
          <cell r="N41">
            <v>236908</v>
          </cell>
          <cell r="O41">
            <v>254439</v>
          </cell>
          <cell r="P41">
            <v>288689</v>
          </cell>
        </row>
        <row r="42">
          <cell r="A42">
            <v>39</v>
          </cell>
          <cell r="B42" t="str">
            <v>Commercial</v>
          </cell>
          <cell r="E42">
            <v>31951</v>
          </cell>
          <cell r="F42">
            <v>71720</v>
          </cell>
          <cell r="G42">
            <v>108080</v>
          </cell>
          <cell r="H42">
            <v>136746</v>
          </cell>
          <cell r="I42">
            <v>160845</v>
          </cell>
          <cell r="J42">
            <v>187064</v>
          </cell>
          <cell r="K42">
            <v>218639</v>
          </cell>
          <cell r="L42">
            <v>259951</v>
          </cell>
          <cell r="M42">
            <v>298568</v>
          </cell>
          <cell r="N42">
            <v>331468</v>
          </cell>
          <cell r="O42">
            <v>359835</v>
          </cell>
          <cell r="P42">
            <v>393583</v>
          </cell>
        </row>
        <row r="43">
          <cell r="A43">
            <v>40</v>
          </cell>
          <cell r="B43" t="str">
            <v xml:space="preserve">Industrial </v>
          </cell>
          <cell r="E43">
            <v>0</v>
          </cell>
          <cell r="F43">
            <v>0</v>
          </cell>
          <cell r="G43">
            <v>264</v>
          </cell>
          <cell r="H43">
            <v>2736</v>
          </cell>
          <cell r="I43">
            <v>8326</v>
          </cell>
          <cell r="J43">
            <v>15085</v>
          </cell>
          <cell r="K43">
            <v>21995</v>
          </cell>
          <cell r="L43">
            <v>27561</v>
          </cell>
          <cell r="M43">
            <v>37120</v>
          </cell>
          <cell r="N43">
            <v>49672</v>
          </cell>
          <cell r="O43">
            <v>60658</v>
          </cell>
          <cell r="P43">
            <v>68501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42</v>
          </cell>
          <cell r="B45" t="str">
            <v>Total customers</v>
          </cell>
          <cell r="E45">
            <v>80053</v>
          </cell>
          <cell r="F45">
            <v>187318</v>
          </cell>
          <cell r="G45">
            <v>276277</v>
          </cell>
          <cell r="H45">
            <v>334237</v>
          </cell>
          <cell r="I45">
            <v>375159</v>
          </cell>
          <cell r="J45">
            <v>414330</v>
          </cell>
          <cell r="K45">
            <v>459018</v>
          </cell>
          <cell r="L45">
            <v>512449</v>
          </cell>
          <cell r="M45">
            <v>566186</v>
          </cell>
          <cell r="N45">
            <v>618048</v>
          </cell>
          <cell r="O45">
            <v>674932</v>
          </cell>
          <cell r="P45">
            <v>750773</v>
          </cell>
        </row>
        <row r="46">
          <cell r="A46">
            <v>43</v>
          </cell>
        </row>
        <row r="47">
          <cell r="A47">
            <v>44</v>
          </cell>
          <cell r="B47" t="str">
            <v xml:space="preserve">Cumulative Volume - 2014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</row>
        <row r="48">
          <cell r="A48">
            <v>45</v>
          </cell>
          <cell r="B48" t="str">
            <v>Residential</v>
          </cell>
          <cell r="E48">
            <v>51221</v>
          </cell>
          <cell r="F48">
            <v>122338</v>
          </cell>
          <cell r="G48">
            <v>177463</v>
          </cell>
          <cell r="H48">
            <v>205799</v>
          </cell>
          <cell r="I48">
            <v>217682</v>
          </cell>
          <cell r="J48">
            <v>224244</v>
          </cell>
          <cell r="K48">
            <v>230863</v>
          </cell>
          <cell r="L48">
            <v>237852</v>
          </cell>
          <cell r="M48">
            <v>243770</v>
          </cell>
          <cell r="N48">
            <v>250596</v>
          </cell>
          <cell r="O48">
            <v>269306</v>
          </cell>
          <cell r="P48">
            <v>305853</v>
          </cell>
        </row>
        <row r="49">
          <cell r="A49">
            <v>46</v>
          </cell>
          <cell r="B49" t="str">
            <v>Commercial</v>
          </cell>
          <cell r="E49">
            <v>34023</v>
          </cell>
          <cell r="F49">
            <v>75926</v>
          </cell>
          <cell r="G49">
            <v>114224</v>
          </cell>
          <cell r="H49">
            <v>144508</v>
          </cell>
          <cell r="I49">
            <v>170002</v>
          </cell>
          <cell r="J49">
            <v>197783</v>
          </cell>
          <cell r="K49">
            <v>231475</v>
          </cell>
          <cell r="L49">
            <v>275538</v>
          </cell>
          <cell r="M49">
            <v>316635</v>
          </cell>
          <cell r="N49">
            <v>351669</v>
          </cell>
          <cell r="O49">
            <v>381943</v>
          </cell>
          <cell r="P49">
            <v>417954</v>
          </cell>
        </row>
        <row r="50">
          <cell r="A50">
            <v>47</v>
          </cell>
          <cell r="B50" t="str">
            <v xml:space="preserve">Industrial </v>
          </cell>
          <cell r="E50">
            <v>0</v>
          </cell>
          <cell r="F50">
            <v>0</v>
          </cell>
          <cell r="G50">
            <v>278</v>
          </cell>
          <cell r="H50">
            <v>2890</v>
          </cell>
          <cell r="I50">
            <v>8804</v>
          </cell>
          <cell r="J50">
            <v>15966</v>
          </cell>
          <cell r="K50">
            <v>23339</v>
          </cell>
          <cell r="L50">
            <v>29276</v>
          </cell>
          <cell r="M50">
            <v>39449</v>
          </cell>
          <cell r="N50">
            <v>52815</v>
          </cell>
          <cell r="O50">
            <v>64540</v>
          </cell>
          <cell r="P50">
            <v>72909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85244</v>
          </cell>
          <cell r="F52">
            <v>198264</v>
          </cell>
          <cell r="G52">
            <v>291965</v>
          </cell>
          <cell r="H52">
            <v>353197</v>
          </cell>
          <cell r="I52">
            <v>396488</v>
          </cell>
          <cell r="J52">
            <v>437993</v>
          </cell>
          <cell r="K52">
            <v>485677</v>
          </cell>
          <cell r="L52">
            <v>542666</v>
          </cell>
          <cell r="M52">
            <v>599854</v>
          </cell>
          <cell r="N52">
            <v>655080</v>
          </cell>
          <cell r="O52">
            <v>715789</v>
          </cell>
          <cell r="P52">
            <v>796716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10941</v>
          </cell>
          <cell r="F55">
            <v>10948</v>
          </cell>
          <cell r="G55">
            <v>10943</v>
          </cell>
          <cell r="H55">
            <v>10959</v>
          </cell>
          <cell r="I55">
            <v>10984</v>
          </cell>
          <cell r="J55">
            <v>11002</v>
          </cell>
          <cell r="K55">
            <v>11021</v>
          </cell>
          <cell r="L55">
            <v>11041</v>
          </cell>
          <cell r="M55">
            <v>11061</v>
          </cell>
          <cell r="N55">
            <v>11082</v>
          </cell>
          <cell r="O55">
            <v>11102</v>
          </cell>
          <cell r="P55">
            <v>11125</v>
          </cell>
        </row>
        <row r="56">
          <cell r="A56">
            <v>53</v>
          </cell>
          <cell r="B56" t="str">
            <v>Cumulative Budget YTD Volume (Mcfs)</v>
          </cell>
          <cell r="E56">
            <v>97484</v>
          </cell>
          <cell r="F56">
            <v>205202</v>
          </cell>
          <cell r="G56">
            <v>295405</v>
          </cell>
          <cell r="H56">
            <v>374022</v>
          </cell>
          <cell r="I56">
            <v>425549</v>
          </cell>
          <cell r="J56">
            <v>476842</v>
          </cell>
          <cell r="K56">
            <v>528451</v>
          </cell>
          <cell r="L56">
            <v>579142</v>
          </cell>
          <cell r="M56">
            <v>630570</v>
          </cell>
          <cell r="N56">
            <v>671652</v>
          </cell>
          <cell r="O56">
            <v>725658</v>
          </cell>
          <cell r="P56">
            <v>801432</v>
          </cell>
        </row>
        <row r="57">
          <cell r="A57">
            <v>54</v>
          </cell>
          <cell r="B57" t="str">
            <v>Cumulative YTD Budget Volume (Dts) * 1.035</v>
          </cell>
          <cell r="E57">
            <v>100895.93999999999</v>
          </cell>
          <cell r="F57">
            <v>212384.06999999998</v>
          </cell>
          <cell r="G57">
            <v>305744.17499999999</v>
          </cell>
          <cell r="H57">
            <v>387112.76999999996</v>
          </cell>
          <cell r="I57">
            <v>440443.21499999997</v>
          </cell>
          <cell r="J57">
            <v>493531.47</v>
          </cell>
          <cell r="K57">
            <v>546946.78499999992</v>
          </cell>
          <cell r="L57">
            <v>599411.97</v>
          </cell>
          <cell r="M57">
            <v>652639.94999999995</v>
          </cell>
          <cell r="N57">
            <v>695159.82</v>
          </cell>
          <cell r="O57">
            <v>751056.02999999991</v>
          </cell>
          <cell r="P57">
            <v>829482.11999999988</v>
          </cell>
        </row>
      </sheetData>
      <sheetData sheetId="13" refreshError="1"/>
      <sheetData sheetId="14" refreshError="1"/>
      <sheetData sheetId="15" refreshError="1"/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50835</v>
          </cell>
          <cell r="D5">
            <v>610017</v>
          </cell>
          <cell r="E5">
            <v>50512</v>
          </cell>
          <cell r="F5">
            <v>50676</v>
          </cell>
          <cell r="G5">
            <v>50950</v>
          </cell>
          <cell r="H5">
            <v>50996</v>
          </cell>
          <cell r="I5">
            <v>50970</v>
          </cell>
          <cell r="J5">
            <v>50850</v>
          </cell>
          <cell r="K5">
            <v>50837</v>
          </cell>
          <cell r="L5">
            <v>50574</v>
          </cell>
          <cell r="M5">
            <v>50661</v>
          </cell>
          <cell r="N5">
            <v>50749</v>
          </cell>
          <cell r="O5">
            <v>50962</v>
          </cell>
          <cell r="P5">
            <v>51280</v>
          </cell>
          <cell r="T5">
            <v>2</v>
          </cell>
          <cell r="U5" t="str">
            <v>Residential</v>
          </cell>
          <cell r="X5">
            <v>49013</v>
          </cell>
          <cell r="Y5">
            <v>49140</v>
          </cell>
          <cell r="Z5">
            <v>49384</v>
          </cell>
          <cell r="AA5">
            <v>49676</v>
          </cell>
          <cell r="AB5">
            <v>49332</v>
          </cell>
          <cell r="AC5">
            <v>49660</v>
          </cell>
          <cell r="AD5">
            <v>49444</v>
          </cell>
          <cell r="AE5">
            <v>49359</v>
          </cell>
          <cell r="AF5">
            <v>49287</v>
          </cell>
          <cell r="AG5">
            <v>49246</v>
          </cell>
          <cell r="AH5">
            <v>49385</v>
          </cell>
          <cell r="AI5">
            <v>49580</v>
          </cell>
        </row>
        <row r="6">
          <cell r="A6">
            <v>3</v>
          </cell>
          <cell r="B6" t="str">
            <v>Commercial</v>
          </cell>
          <cell r="C6">
            <v>4368</v>
          </cell>
          <cell r="D6">
            <v>52417</v>
          </cell>
          <cell r="E6">
            <v>4401</v>
          </cell>
          <cell r="F6">
            <v>4413</v>
          </cell>
          <cell r="G6">
            <v>4431</v>
          </cell>
          <cell r="H6">
            <v>4420</v>
          </cell>
          <cell r="I6">
            <v>4390</v>
          </cell>
          <cell r="J6">
            <v>4365</v>
          </cell>
          <cell r="K6">
            <v>4364</v>
          </cell>
          <cell r="L6">
            <v>4341</v>
          </cell>
          <cell r="M6">
            <v>4325</v>
          </cell>
          <cell r="N6">
            <v>4330</v>
          </cell>
          <cell r="O6">
            <v>4317</v>
          </cell>
          <cell r="P6">
            <v>4320</v>
          </cell>
          <cell r="T6">
            <v>3</v>
          </cell>
          <cell r="U6" t="str">
            <v>Commercial</v>
          </cell>
          <cell r="X6">
            <v>4549</v>
          </cell>
          <cell r="Y6">
            <v>4545</v>
          </cell>
          <cell r="Z6">
            <v>4585</v>
          </cell>
          <cell r="AA6">
            <v>4595</v>
          </cell>
          <cell r="AB6">
            <v>4515</v>
          </cell>
          <cell r="AC6">
            <v>4517</v>
          </cell>
          <cell r="AD6">
            <v>4464</v>
          </cell>
          <cell r="AE6">
            <v>4434</v>
          </cell>
          <cell r="AF6">
            <v>4422</v>
          </cell>
          <cell r="AG6">
            <v>4395</v>
          </cell>
          <cell r="AH6">
            <v>4362</v>
          </cell>
          <cell r="AI6">
            <v>4378</v>
          </cell>
        </row>
        <row r="7">
          <cell r="A7">
            <v>4</v>
          </cell>
          <cell r="B7" t="str">
            <v xml:space="preserve">Industrial </v>
          </cell>
          <cell r="C7">
            <v>1321</v>
          </cell>
          <cell r="D7">
            <v>15851</v>
          </cell>
          <cell r="E7">
            <v>1205</v>
          </cell>
          <cell r="F7">
            <v>1222</v>
          </cell>
          <cell r="G7">
            <v>1235</v>
          </cell>
          <cell r="H7">
            <v>1249</v>
          </cell>
          <cell r="I7">
            <v>1277</v>
          </cell>
          <cell r="J7">
            <v>1292</v>
          </cell>
          <cell r="K7">
            <v>1310</v>
          </cell>
          <cell r="L7">
            <v>1344</v>
          </cell>
          <cell r="M7">
            <v>1387</v>
          </cell>
          <cell r="N7">
            <v>1423</v>
          </cell>
          <cell r="O7">
            <v>1437</v>
          </cell>
          <cell r="P7">
            <v>1470</v>
          </cell>
          <cell r="T7">
            <v>4</v>
          </cell>
          <cell r="U7" t="str">
            <v>Industrial firm</v>
          </cell>
          <cell r="X7">
            <v>905</v>
          </cell>
          <cell r="Y7">
            <v>913</v>
          </cell>
          <cell r="Z7">
            <v>921</v>
          </cell>
          <cell r="AA7">
            <v>970</v>
          </cell>
          <cell r="AB7">
            <v>995</v>
          </cell>
          <cell r="AC7">
            <v>1030</v>
          </cell>
          <cell r="AD7">
            <v>1057</v>
          </cell>
          <cell r="AE7">
            <v>1076</v>
          </cell>
          <cell r="AF7">
            <v>1094</v>
          </cell>
          <cell r="AG7">
            <v>1163</v>
          </cell>
          <cell r="AH7">
            <v>1163</v>
          </cell>
          <cell r="AI7">
            <v>1196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56524</v>
          </cell>
          <cell r="D9">
            <v>678285</v>
          </cell>
          <cell r="E9">
            <v>56118</v>
          </cell>
          <cell r="F9">
            <v>56311</v>
          </cell>
          <cell r="G9">
            <v>56616</v>
          </cell>
          <cell r="H9">
            <v>56665</v>
          </cell>
          <cell r="I9">
            <v>56637</v>
          </cell>
          <cell r="J9">
            <v>56507</v>
          </cell>
          <cell r="K9">
            <v>56511</v>
          </cell>
          <cell r="L9">
            <v>56259</v>
          </cell>
          <cell r="M9">
            <v>56373</v>
          </cell>
          <cell r="N9">
            <v>56502</v>
          </cell>
          <cell r="O9">
            <v>56716</v>
          </cell>
          <cell r="P9">
            <v>57070</v>
          </cell>
          <cell r="T9">
            <v>6</v>
          </cell>
          <cell r="U9" t="str">
            <v>Total customers</v>
          </cell>
          <cell r="X9">
            <v>54467</v>
          </cell>
          <cell r="Y9">
            <v>54598</v>
          </cell>
          <cell r="Z9">
            <v>54890</v>
          </cell>
          <cell r="AA9">
            <v>55241</v>
          </cell>
          <cell r="AB9">
            <v>54842</v>
          </cell>
          <cell r="AC9">
            <v>55207</v>
          </cell>
          <cell r="AD9">
            <v>54965</v>
          </cell>
          <cell r="AE9">
            <v>54869</v>
          </cell>
          <cell r="AF9">
            <v>54803</v>
          </cell>
          <cell r="AG9">
            <v>54804</v>
          </cell>
          <cell r="AH9">
            <v>54910</v>
          </cell>
          <cell r="AI9">
            <v>55154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- 2014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- 2013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1248047.266335573</v>
          </cell>
          <cell r="E12">
            <v>171895</v>
          </cell>
          <cell r="F12">
            <v>166968</v>
          </cell>
          <cell r="G12">
            <v>132612</v>
          </cell>
          <cell r="H12">
            <v>116118</v>
          </cell>
          <cell r="I12">
            <v>85176</v>
          </cell>
          <cell r="J12">
            <v>71965</v>
          </cell>
          <cell r="K12">
            <v>66923</v>
          </cell>
          <cell r="L12">
            <v>57900.266335573084</v>
          </cell>
          <cell r="M12">
            <v>62793</v>
          </cell>
          <cell r="N12">
            <v>67838</v>
          </cell>
          <cell r="O12">
            <v>95618</v>
          </cell>
          <cell r="P12">
            <v>152241</v>
          </cell>
          <cell r="T12">
            <v>9</v>
          </cell>
          <cell r="U12" t="str">
            <v>Residential</v>
          </cell>
          <cell r="W12">
            <v>1185957</v>
          </cell>
          <cell r="X12">
            <v>150490</v>
          </cell>
          <cell r="Y12">
            <v>141633</v>
          </cell>
          <cell r="Z12">
            <v>143378</v>
          </cell>
          <cell r="AA12">
            <v>124614</v>
          </cell>
          <cell r="AB12">
            <v>89719</v>
          </cell>
          <cell r="AC12">
            <v>73725</v>
          </cell>
          <cell r="AD12">
            <v>61764</v>
          </cell>
          <cell r="AE12">
            <v>60847</v>
          </cell>
          <cell r="AF12">
            <v>61632</v>
          </cell>
          <cell r="AG12">
            <v>67829</v>
          </cell>
          <cell r="AH12">
            <v>84070</v>
          </cell>
          <cell r="AI12">
            <v>126256</v>
          </cell>
        </row>
        <row r="13">
          <cell r="A13">
            <v>10</v>
          </cell>
          <cell r="B13" t="str">
            <v>Commercial</v>
          </cell>
          <cell r="D13">
            <v>2528529.3482325445</v>
          </cell>
          <cell r="E13">
            <v>274480</v>
          </cell>
          <cell r="F13">
            <v>260343</v>
          </cell>
          <cell r="G13">
            <v>244370</v>
          </cell>
          <cell r="H13">
            <v>227857</v>
          </cell>
          <cell r="I13">
            <v>197949</v>
          </cell>
          <cell r="J13">
            <v>179082</v>
          </cell>
          <cell r="K13">
            <v>184305</v>
          </cell>
          <cell r="L13">
            <v>158651.34823254452</v>
          </cell>
          <cell r="M13">
            <v>161825</v>
          </cell>
          <cell r="N13">
            <v>179455</v>
          </cell>
          <cell r="O13">
            <v>208256</v>
          </cell>
          <cell r="P13">
            <v>251956</v>
          </cell>
          <cell r="T13">
            <v>10</v>
          </cell>
          <cell r="U13" t="str">
            <v>Commercial</v>
          </cell>
          <cell r="W13">
            <v>2664188</v>
          </cell>
          <cell r="X13">
            <v>270224</v>
          </cell>
          <cell r="Y13">
            <v>265639</v>
          </cell>
          <cell r="Z13">
            <v>266732</v>
          </cell>
          <cell r="AA13">
            <v>266869</v>
          </cell>
          <cell r="AB13">
            <v>228567</v>
          </cell>
          <cell r="AC13">
            <v>198465</v>
          </cell>
          <cell r="AD13">
            <v>168178</v>
          </cell>
          <cell r="AE13">
            <v>175950</v>
          </cell>
          <cell r="AF13">
            <v>176129</v>
          </cell>
          <cell r="AG13">
            <v>190077</v>
          </cell>
          <cell r="AH13">
            <v>205726</v>
          </cell>
          <cell r="AI13">
            <v>251632</v>
          </cell>
        </row>
        <row r="14">
          <cell r="A14">
            <v>11</v>
          </cell>
          <cell r="B14" t="str">
            <v xml:space="preserve">Industrial </v>
          </cell>
          <cell r="D14">
            <v>3749922.618658097</v>
          </cell>
          <cell r="E14">
            <v>484173</v>
          </cell>
          <cell r="F14">
            <v>318597</v>
          </cell>
          <cell r="G14">
            <v>305299</v>
          </cell>
          <cell r="H14">
            <v>401946</v>
          </cell>
          <cell r="I14">
            <v>318946</v>
          </cell>
          <cell r="J14">
            <v>269392</v>
          </cell>
          <cell r="K14">
            <v>260392</v>
          </cell>
          <cell r="L14">
            <v>255669.61865809717</v>
          </cell>
          <cell r="M14">
            <v>248203</v>
          </cell>
          <cell r="N14">
            <v>265190</v>
          </cell>
          <cell r="O14">
            <v>307016</v>
          </cell>
          <cell r="P14">
            <v>315099</v>
          </cell>
          <cell r="T14">
            <v>11</v>
          </cell>
          <cell r="U14" t="str">
            <v>Industrial firm</v>
          </cell>
          <cell r="W14">
            <v>3618378</v>
          </cell>
          <cell r="X14">
            <v>451405</v>
          </cell>
          <cell r="Y14">
            <v>342922</v>
          </cell>
          <cell r="Z14">
            <v>385523</v>
          </cell>
          <cell r="AA14">
            <v>301150</v>
          </cell>
          <cell r="AB14">
            <v>285518</v>
          </cell>
          <cell r="AC14">
            <v>240465</v>
          </cell>
          <cell r="AD14">
            <v>232864</v>
          </cell>
          <cell r="AE14">
            <v>232682</v>
          </cell>
          <cell r="AF14">
            <v>241401</v>
          </cell>
          <cell r="AG14">
            <v>253020</v>
          </cell>
          <cell r="AH14">
            <v>267994</v>
          </cell>
          <cell r="AI14">
            <v>383434</v>
          </cell>
        </row>
        <row r="15">
          <cell r="A15">
            <v>12</v>
          </cell>
          <cell r="B15" t="str">
            <v>Other</v>
          </cell>
          <cell r="D15">
            <v>33546.923076923085</v>
          </cell>
          <cell r="E15">
            <v>-18022.395326192796</v>
          </cell>
          <cell r="F15">
            <v>-19704.965920155795</v>
          </cell>
          <cell r="G15">
            <v>8510.2239532619278</v>
          </cell>
          <cell r="H15">
            <v>-31101.265822784811</v>
          </cell>
          <cell r="I15">
            <v>-3908.4712755598835</v>
          </cell>
          <cell r="J15">
            <v>-16358.325219084714</v>
          </cell>
          <cell r="K15">
            <v>-25945.472249269718</v>
          </cell>
          <cell r="L15">
            <v>26882.852969814998</v>
          </cell>
          <cell r="M15">
            <v>-15740.019474196692</v>
          </cell>
          <cell r="N15">
            <v>13364.167478091529</v>
          </cell>
          <cell r="O15">
            <v>69934.761441090566</v>
          </cell>
          <cell r="P15">
            <v>45635.832521908473</v>
          </cell>
          <cell r="T15">
            <v>12</v>
          </cell>
          <cell r="U15" t="str">
            <v>Other</v>
          </cell>
          <cell r="W15">
            <v>-79582.278481012676</v>
          </cell>
          <cell r="X15">
            <v>-14500.486854917235</v>
          </cell>
          <cell r="Y15">
            <v>-21146.056475170401</v>
          </cell>
          <cell r="Z15">
            <v>2229.7955209347615</v>
          </cell>
          <cell r="AA15">
            <v>-32930.866601752678</v>
          </cell>
          <cell r="AB15">
            <v>-40629.990262901658</v>
          </cell>
          <cell r="AC15">
            <v>-41911.392405063292</v>
          </cell>
          <cell r="AD15">
            <v>12739.045764362221</v>
          </cell>
          <cell r="AE15">
            <v>-6878.2862706913347</v>
          </cell>
          <cell r="AF15">
            <v>-30739.045764362221</v>
          </cell>
          <cell r="AG15">
            <v>28058.422590068163</v>
          </cell>
          <cell r="AH15">
            <v>28692.307692307695</v>
          </cell>
          <cell r="AI15">
            <v>37434.27458617332</v>
          </cell>
        </row>
        <row r="16">
          <cell r="A16">
            <v>13</v>
          </cell>
          <cell r="B16" t="str">
            <v>Total Deliveries</v>
          </cell>
          <cell r="D16">
            <v>7560046.1563031375</v>
          </cell>
          <cell r="E16">
            <v>912525.60467380716</v>
          </cell>
          <cell r="F16">
            <v>726203.03407984425</v>
          </cell>
          <cell r="G16">
            <v>690791.22395326197</v>
          </cell>
          <cell r="H16">
            <v>714819.73417721514</v>
          </cell>
          <cell r="I16">
            <v>598162.52872444014</v>
          </cell>
          <cell r="J16">
            <v>504080.67478091526</v>
          </cell>
          <cell r="K16">
            <v>485674.52775073028</v>
          </cell>
          <cell r="L16">
            <v>499104.08619602979</v>
          </cell>
          <cell r="M16">
            <v>457080.98052580329</v>
          </cell>
          <cell r="N16">
            <v>525847.16747809155</v>
          </cell>
          <cell r="O16">
            <v>680824.76144109061</v>
          </cell>
          <cell r="P16">
            <v>764931.83252190845</v>
          </cell>
          <cell r="T16">
            <v>13</v>
          </cell>
          <cell r="U16" t="str">
            <v>Total Deliveries</v>
          </cell>
          <cell r="W16">
            <v>7388940.7215189878</v>
          </cell>
          <cell r="X16">
            <v>857618.51314508275</v>
          </cell>
          <cell r="Y16">
            <v>729047.94352482958</v>
          </cell>
          <cell r="Z16">
            <v>797862.79552093474</v>
          </cell>
          <cell r="AA16">
            <v>659702.1333982473</v>
          </cell>
          <cell r="AB16">
            <v>563174.00973709836</v>
          </cell>
          <cell r="AC16">
            <v>470743.60759493674</v>
          </cell>
          <cell r="AD16">
            <v>475545.04576436221</v>
          </cell>
          <cell r="AE16">
            <v>462600.71372930869</v>
          </cell>
          <cell r="AF16">
            <v>448422.95423563779</v>
          </cell>
          <cell r="AG16">
            <v>538984.42259006819</v>
          </cell>
          <cell r="AH16">
            <v>586482.30769230775</v>
          </cell>
          <cell r="AI16">
            <v>798756.27458617336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49510</v>
          </cell>
          <cell r="D21">
            <v>594118</v>
          </cell>
          <cell r="E21">
            <v>49122</v>
          </cell>
          <cell r="F21">
            <v>49295</v>
          </cell>
          <cell r="G21">
            <v>49571</v>
          </cell>
          <cell r="H21">
            <v>49634</v>
          </cell>
          <cell r="I21">
            <v>49645</v>
          </cell>
          <cell r="J21">
            <v>49546</v>
          </cell>
          <cell r="K21">
            <v>49545</v>
          </cell>
          <cell r="L21">
            <v>49293</v>
          </cell>
          <cell r="M21">
            <v>49380</v>
          </cell>
          <cell r="N21">
            <v>49464</v>
          </cell>
          <cell r="O21">
            <v>49667</v>
          </cell>
          <cell r="P21">
            <v>49956</v>
          </cell>
          <cell r="T21">
            <v>18</v>
          </cell>
          <cell r="U21" t="str">
            <v>Residential</v>
          </cell>
          <cell r="X21">
            <v>48333</v>
          </cell>
          <cell r="Y21">
            <v>48459</v>
          </cell>
          <cell r="Z21">
            <v>48701</v>
          </cell>
          <cell r="AA21">
            <v>48996</v>
          </cell>
          <cell r="AB21">
            <v>48651</v>
          </cell>
          <cell r="AC21">
            <v>48982</v>
          </cell>
          <cell r="AD21">
            <v>48764</v>
          </cell>
          <cell r="AE21">
            <v>48685</v>
          </cell>
          <cell r="AF21">
            <v>48611</v>
          </cell>
          <cell r="AG21">
            <v>48573</v>
          </cell>
          <cell r="AH21">
            <v>48711</v>
          </cell>
          <cell r="AI21">
            <v>48908</v>
          </cell>
        </row>
        <row r="22">
          <cell r="A22">
            <v>19</v>
          </cell>
          <cell r="B22" t="str">
            <v>Commercial Small</v>
          </cell>
          <cell r="C22">
            <v>3316</v>
          </cell>
          <cell r="D22">
            <v>39796</v>
          </cell>
          <cell r="E22">
            <v>3298</v>
          </cell>
          <cell r="F22">
            <v>3308</v>
          </cell>
          <cell r="G22">
            <v>3324</v>
          </cell>
          <cell r="H22">
            <v>3322</v>
          </cell>
          <cell r="I22">
            <v>3303</v>
          </cell>
          <cell r="J22">
            <v>3298</v>
          </cell>
          <cell r="K22">
            <v>3315</v>
          </cell>
          <cell r="L22">
            <v>3311</v>
          </cell>
          <cell r="M22">
            <v>3310</v>
          </cell>
          <cell r="N22">
            <v>3321</v>
          </cell>
          <cell r="O22">
            <v>3335</v>
          </cell>
          <cell r="P22">
            <v>3351</v>
          </cell>
          <cell r="T22">
            <v>19</v>
          </cell>
          <cell r="U22" t="str">
            <v>Commercial Small</v>
          </cell>
          <cell r="X22">
            <v>3323</v>
          </cell>
          <cell r="Y22">
            <v>3326</v>
          </cell>
          <cell r="Z22">
            <v>3350</v>
          </cell>
          <cell r="AA22">
            <v>3369</v>
          </cell>
          <cell r="AB22">
            <v>3327</v>
          </cell>
          <cell r="AC22">
            <v>3340</v>
          </cell>
          <cell r="AD22">
            <v>3318</v>
          </cell>
          <cell r="AE22">
            <v>3298</v>
          </cell>
          <cell r="AF22">
            <v>3301</v>
          </cell>
          <cell r="AG22">
            <v>3284</v>
          </cell>
          <cell r="AH22">
            <v>3276</v>
          </cell>
          <cell r="AI22">
            <v>3291</v>
          </cell>
        </row>
        <row r="23">
          <cell r="A23">
            <v>20</v>
          </cell>
          <cell r="B23" t="str">
            <v>Commercial Large</v>
          </cell>
          <cell r="C23">
            <v>961</v>
          </cell>
          <cell r="D23">
            <v>11534</v>
          </cell>
          <cell r="E23">
            <v>1005</v>
          </cell>
          <cell r="F23">
            <v>1008</v>
          </cell>
          <cell r="G23">
            <v>1011</v>
          </cell>
          <cell r="H23">
            <v>1004</v>
          </cell>
          <cell r="I23">
            <v>993</v>
          </cell>
          <cell r="J23">
            <v>975</v>
          </cell>
          <cell r="K23">
            <v>958</v>
          </cell>
          <cell r="L23">
            <v>943</v>
          </cell>
          <cell r="M23">
            <v>928</v>
          </cell>
          <cell r="N23">
            <v>922</v>
          </cell>
          <cell r="O23">
            <v>893</v>
          </cell>
          <cell r="P23">
            <v>894</v>
          </cell>
          <cell r="T23">
            <v>20</v>
          </cell>
          <cell r="U23" t="str">
            <v>Commercial Large</v>
          </cell>
          <cell r="X23">
            <v>1158</v>
          </cell>
          <cell r="Y23">
            <v>1151</v>
          </cell>
          <cell r="Z23">
            <v>1167</v>
          </cell>
          <cell r="AA23">
            <v>1158</v>
          </cell>
          <cell r="AB23">
            <v>1120</v>
          </cell>
          <cell r="AC23">
            <v>1109</v>
          </cell>
          <cell r="AD23">
            <v>1078</v>
          </cell>
          <cell r="AE23">
            <v>1068</v>
          </cell>
          <cell r="AF23">
            <v>1053</v>
          </cell>
          <cell r="AG23">
            <v>1043</v>
          </cell>
          <cell r="AH23">
            <v>1017</v>
          </cell>
          <cell r="AI23">
            <v>1017</v>
          </cell>
        </row>
        <row r="24">
          <cell r="A24">
            <v>21</v>
          </cell>
          <cell r="B24" t="str">
            <v>Outdoor Lights</v>
          </cell>
          <cell r="C24">
            <v>39</v>
          </cell>
          <cell r="D24">
            <v>464</v>
          </cell>
          <cell r="E24">
            <v>44</v>
          </cell>
          <cell r="F24">
            <v>43</v>
          </cell>
          <cell r="G24">
            <v>41</v>
          </cell>
          <cell r="H24">
            <v>41</v>
          </cell>
          <cell r="I24">
            <v>41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N24">
            <v>38</v>
          </cell>
          <cell r="O24">
            <v>37</v>
          </cell>
          <cell r="P24">
            <v>25</v>
          </cell>
          <cell r="T24">
            <v>21</v>
          </cell>
          <cell r="U24" t="str">
            <v>Outdoor Lights</v>
          </cell>
          <cell r="X24">
            <v>43</v>
          </cell>
          <cell r="Y24">
            <v>43</v>
          </cell>
          <cell r="Z24">
            <v>43</v>
          </cell>
          <cell r="AA24">
            <v>43</v>
          </cell>
          <cell r="AB24">
            <v>43</v>
          </cell>
          <cell r="AC24">
            <v>43</v>
          </cell>
          <cell r="AD24">
            <v>43</v>
          </cell>
          <cell r="AE24">
            <v>43</v>
          </cell>
          <cell r="AF24">
            <v>43</v>
          </cell>
          <cell r="AG24">
            <v>42</v>
          </cell>
          <cell r="AH24">
            <v>44</v>
          </cell>
          <cell r="AI24">
            <v>45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T25">
            <v>22</v>
          </cell>
          <cell r="U25" t="str">
            <v>Interdepartmental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26">
            <v>23</v>
          </cell>
          <cell r="B26" t="str">
            <v>Commercial Small Transp</v>
          </cell>
          <cell r="C26">
            <v>470</v>
          </cell>
          <cell r="D26">
            <v>5644</v>
          </cell>
          <cell r="E26">
            <v>410</v>
          </cell>
          <cell r="F26">
            <v>420</v>
          </cell>
          <cell r="G26">
            <v>428</v>
          </cell>
          <cell r="H26">
            <v>435</v>
          </cell>
          <cell r="I26">
            <v>453</v>
          </cell>
          <cell r="J26">
            <v>461</v>
          </cell>
          <cell r="K26">
            <v>467</v>
          </cell>
          <cell r="L26">
            <v>482</v>
          </cell>
          <cell r="M26">
            <v>508</v>
          </cell>
          <cell r="N26">
            <v>517</v>
          </cell>
          <cell r="O26">
            <v>523</v>
          </cell>
          <cell r="P26">
            <v>540</v>
          </cell>
          <cell r="T26">
            <v>23</v>
          </cell>
          <cell r="U26" t="str">
            <v>Commercial Small Transp</v>
          </cell>
          <cell r="X26">
            <v>271</v>
          </cell>
          <cell r="Y26">
            <v>273</v>
          </cell>
          <cell r="Z26">
            <v>275</v>
          </cell>
          <cell r="AA26">
            <v>289</v>
          </cell>
          <cell r="AB26">
            <v>300</v>
          </cell>
          <cell r="AC26">
            <v>320</v>
          </cell>
          <cell r="AD26">
            <v>326</v>
          </cell>
          <cell r="AE26">
            <v>339</v>
          </cell>
          <cell r="AF26">
            <v>354</v>
          </cell>
          <cell r="AG26">
            <v>386</v>
          </cell>
          <cell r="AH26">
            <v>388</v>
          </cell>
          <cell r="AI26">
            <v>406</v>
          </cell>
        </row>
        <row r="27">
          <cell r="A27">
            <v>24</v>
          </cell>
          <cell r="B27" t="str">
            <v>Commercial Large Transp</v>
          </cell>
          <cell r="C27">
            <v>833</v>
          </cell>
          <cell r="D27">
            <v>9991</v>
          </cell>
          <cell r="E27">
            <v>777</v>
          </cell>
          <cell r="F27">
            <v>784</v>
          </cell>
          <cell r="G27">
            <v>789</v>
          </cell>
          <cell r="H27">
            <v>796</v>
          </cell>
          <cell r="I27">
            <v>806</v>
          </cell>
          <cell r="J27">
            <v>813</v>
          </cell>
          <cell r="K27">
            <v>827</v>
          </cell>
          <cell r="L27">
            <v>844</v>
          </cell>
          <cell r="M27">
            <v>861</v>
          </cell>
          <cell r="N27">
            <v>888</v>
          </cell>
          <cell r="O27">
            <v>895</v>
          </cell>
          <cell r="P27">
            <v>911</v>
          </cell>
          <cell r="T27">
            <v>24</v>
          </cell>
          <cell r="U27" t="str">
            <v>Commercial Large Transp</v>
          </cell>
          <cell r="X27">
            <v>618</v>
          </cell>
          <cell r="Y27">
            <v>624</v>
          </cell>
          <cell r="Z27">
            <v>630</v>
          </cell>
          <cell r="AA27">
            <v>666</v>
          </cell>
          <cell r="AB27">
            <v>680</v>
          </cell>
          <cell r="AC27">
            <v>695</v>
          </cell>
          <cell r="AD27">
            <v>715</v>
          </cell>
          <cell r="AE27">
            <v>721</v>
          </cell>
          <cell r="AF27">
            <v>724</v>
          </cell>
          <cell r="AG27">
            <v>760</v>
          </cell>
          <cell r="AH27">
            <v>758</v>
          </cell>
          <cell r="AI27">
            <v>773</v>
          </cell>
        </row>
        <row r="28">
          <cell r="A28">
            <v>25</v>
          </cell>
          <cell r="B28" t="str">
            <v>Interruptible Transp</v>
          </cell>
          <cell r="C28">
            <v>16</v>
          </cell>
          <cell r="D28">
            <v>192</v>
          </cell>
          <cell r="E28">
            <v>16</v>
          </cell>
          <cell r="F28">
            <v>16</v>
          </cell>
          <cell r="G28">
            <v>16</v>
          </cell>
          <cell r="H28">
            <v>16</v>
          </cell>
          <cell r="I28">
            <v>16</v>
          </cell>
          <cell r="J28">
            <v>16</v>
          </cell>
          <cell r="K28">
            <v>14</v>
          </cell>
          <cell r="L28">
            <v>16</v>
          </cell>
          <cell r="M28">
            <v>16</v>
          </cell>
          <cell r="N28">
            <v>16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14</v>
          </cell>
          <cell r="Y28">
            <v>14</v>
          </cell>
          <cell r="Z28">
            <v>14</v>
          </cell>
          <cell r="AA28">
            <v>13</v>
          </cell>
          <cell r="AB28">
            <v>13</v>
          </cell>
          <cell r="AC28">
            <v>13</v>
          </cell>
          <cell r="AD28">
            <v>14</v>
          </cell>
          <cell r="AE28">
            <v>14</v>
          </cell>
          <cell r="AF28">
            <v>14</v>
          </cell>
          <cell r="AG28">
            <v>15</v>
          </cell>
          <cell r="AH28">
            <v>15</v>
          </cell>
          <cell r="AI28">
            <v>15</v>
          </cell>
        </row>
        <row r="29">
          <cell r="A29">
            <v>26</v>
          </cell>
          <cell r="B29" t="str">
            <v>OSS</v>
          </cell>
          <cell r="D29">
            <v>0</v>
          </cell>
          <cell r="T29">
            <v>26</v>
          </cell>
          <cell r="U29" t="str">
            <v>OSS</v>
          </cell>
        </row>
        <row r="30">
          <cell r="A30">
            <v>27</v>
          </cell>
          <cell r="D30">
            <v>661739</v>
          </cell>
          <cell r="E30">
            <v>54672</v>
          </cell>
          <cell r="F30">
            <v>54874</v>
          </cell>
          <cell r="G30">
            <v>55180</v>
          </cell>
          <cell r="H30">
            <v>55248</v>
          </cell>
          <cell r="I30">
            <v>55257</v>
          </cell>
          <cell r="J30">
            <v>55148</v>
          </cell>
          <cell r="K30">
            <v>55165</v>
          </cell>
          <cell r="L30">
            <v>54927</v>
          </cell>
          <cell r="M30">
            <v>55041</v>
          </cell>
          <cell r="N30">
            <v>55166</v>
          </cell>
          <cell r="O30">
            <v>55367</v>
          </cell>
          <cell r="P30">
            <v>55694</v>
          </cell>
          <cell r="T30">
            <v>27</v>
          </cell>
          <cell r="X30">
            <v>53760</v>
          </cell>
          <cell r="Y30">
            <v>53890</v>
          </cell>
          <cell r="Z30">
            <v>54180</v>
          </cell>
          <cell r="AA30">
            <v>54534</v>
          </cell>
          <cell r="AB30">
            <v>54134</v>
          </cell>
          <cell r="AC30">
            <v>54502</v>
          </cell>
          <cell r="AD30">
            <v>54258</v>
          </cell>
          <cell r="AE30">
            <v>54168</v>
          </cell>
          <cell r="AF30">
            <v>54100</v>
          </cell>
          <cell r="AG30">
            <v>54103</v>
          </cell>
          <cell r="AH30">
            <v>54209</v>
          </cell>
          <cell r="AI30">
            <v>54455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1227881.266335573</v>
          </cell>
          <cell r="E33">
            <v>169361</v>
          </cell>
          <cell r="F33">
            <v>164706</v>
          </cell>
          <cell r="G33">
            <v>130840</v>
          </cell>
          <cell r="H33">
            <v>114318</v>
          </cell>
          <cell r="I33">
            <v>83663</v>
          </cell>
          <cell r="J33">
            <v>70623</v>
          </cell>
          <cell r="K33">
            <v>65529</v>
          </cell>
          <cell r="L33">
            <v>56685.266335573084</v>
          </cell>
          <cell r="M33">
            <v>61436</v>
          </cell>
          <cell r="N33">
            <v>66489</v>
          </cell>
          <cell r="O33">
            <v>94127</v>
          </cell>
          <cell r="P33">
            <v>150104</v>
          </cell>
          <cell r="T33">
            <v>30</v>
          </cell>
          <cell r="U33" t="str">
            <v>Residential</v>
          </cell>
          <cell r="X33">
            <v>149426</v>
          </cell>
          <cell r="Y33">
            <v>140463</v>
          </cell>
          <cell r="Z33">
            <v>142340</v>
          </cell>
          <cell r="AA33">
            <v>123528</v>
          </cell>
          <cell r="AB33">
            <v>88598</v>
          </cell>
          <cell r="AC33">
            <v>72960</v>
          </cell>
          <cell r="AD33">
            <v>60882</v>
          </cell>
          <cell r="AE33">
            <v>60009</v>
          </cell>
          <cell r="AF33">
            <v>60791</v>
          </cell>
          <cell r="AG33">
            <v>66716</v>
          </cell>
          <cell r="AH33">
            <v>83273</v>
          </cell>
          <cell r="AI33">
            <v>116384</v>
          </cell>
        </row>
        <row r="34">
          <cell r="A34">
            <v>31</v>
          </cell>
          <cell r="B34" t="str">
            <v>Commercial Small</v>
          </cell>
          <cell r="D34">
            <v>870446.32486123289</v>
          </cell>
          <cell r="E34">
            <v>96474</v>
          </cell>
          <cell r="F34">
            <v>93006</v>
          </cell>
          <cell r="G34">
            <v>83773</v>
          </cell>
          <cell r="H34">
            <v>78454</v>
          </cell>
          <cell r="I34">
            <v>65499</v>
          </cell>
          <cell r="J34">
            <v>59915</v>
          </cell>
          <cell r="K34">
            <v>59080</v>
          </cell>
          <cell r="L34">
            <v>53036.324861232832</v>
          </cell>
          <cell r="M34">
            <v>55851</v>
          </cell>
          <cell r="N34">
            <v>61221</v>
          </cell>
          <cell r="O34">
            <v>74069</v>
          </cell>
          <cell r="P34">
            <v>90068</v>
          </cell>
          <cell r="T34">
            <v>31</v>
          </cell>
          <cell r="U34" t="str">
            <v>Commercial Small</v>
          </cell>
          <cell r="X34">
            <v>85106</v>
          </cell>
          <cell r="Y34">
            <v>85652</v>
          </cell>
          <cell r="Z34">
            <v>87847</v>
          </cell>
          <cell r="AA34">
            <v>77867</v>
          </cell>
          <cell r="AB34">
            <v>69185</v>
          </cell>
          <cell r="AC34">
            <v>61320</v>
          </cell>
          <cell r="AD34">
            <v>53753</v>
          </cell>
          <cell r="AE34">
            <v>54902</v>
          </cell>
          <cell r="AF34">
            <v>53127</v>
          </cell>
          <cell r="AG34">
            <v>56442</v>
          </cell>
          <cell r="AH34">
            <v>65792</v>
          </cell>
          <cell r="AI34">
            <v>77807</v>
          </cell>
        </row>
        <row r="35">
          <cell r="A35">
            <v>32</v>
          </cell>
          <cell r="B35" t="str">
            <v>Commercial Large</v>
          </cell>
          <cell r="D35">
            <v>1623193.018404908</v>
          </cell>
          <cell r="E35">
            <v>174571</v>
          </cell>
          <cell r="F35">
            <v>163793</v>
          </cell>
          <cell r="G35">
            <v>157229</v>
          </cell>
          <cell r="H35">
            <v>146029</v>
          </cell>
          <cell r="I35">
            <v>129681</v>
          </cell>
          <cell r="J35">
            <v>116469</v>
          </cell>
          <cell r="K35">
            <v>122643</v>
          </cell>
          <cell r="L35">
            <v>103319.01840490797</v>
          </cell>
          <cell r="M35">
            <v>103395</v>
          </cell>
          <cell r="N35">
            <v>115464</v>
          </cell>
          <cell r="O35">
            <v>131189</v>
          </cell>
          <cell r="P35">
            <v>159411</v>
          </cell>
          <cell r="T35">
            <v>32</v>
          </cell>
          <cell r="U35" t="str">
            <v>Commercial Large</v>
          </cell>
          <cell r="X35">
            <v>182704</v>
          </cell>
          <cell r="Y35">
            <v>177379</v>
          </cell>
          <cell r="Z35">
            <v>176387</v>
          </cell>
          <cell r="AA35">
            <v>186491</v>
          </cell>
          <cell r="AB35">
            <v>156880</v>
          </cell>
          <cell r="AC35">
            <v>136676</v>
          </cell>
          <cell r="AD35">
            <v>111828</v>
          </cell>
          <cell r="AE35">
            <v>118620</v>
          </cell>
          <cell r="AF35">
            <v>120625</v>
          </cell>
          <cell r="AG35">
            <v>131183</v>
          </cell>
          <cell r="AH35">
            <v>137604</v>
          </cell>
          <cell r="AI35">
            <v>160002</v>
          </cell>
        </row>
        <row r="36">
          <cell r="A36">
            <v>33</v>
          </cell>
          <cell r="B36" t="str">
            <v>Outdoor Lights</v>
          </cell>
          <cell r="D36">
            <v>20315.00496640374</v>
          </cell>
          <cell r="E36">
            <v>1717</v>
          </cell>
          <cell r="F36">
            <v>1845</v>
          </cell>
          <cell r="G36">
            <v>1782</v>
          </cell>
          <cell r="H36">
            <v>1848</v>
          </cell>
          <cell r="I36">
            <v>1782</v>
          </cell>
          <cell r="J36">
            <v>1753</v>
          </cell>
          <cell r="K36">
            <v>1753</v>
          </cell>
          <cell r="L36">
            <v>1721.0049664037394</v>
          </cell>
          <cell r="M36">
            <v>1721</v>
          </cell>
          <cell r="N36">
            <v>1622</v>
          </cell>
          <cell r="O36">
            <v>1677</v>
          </cell>
          <cell r="P36">
            <v>1094</v>
          </cell>
          <cell r="T36">
            <v>33</v>
          </cell>
          <cell r="U36" t="str">
            <v>Outdoor Lights</v>
          </cell>
          <cell r="X36">
            <v>1892</v>
          </cell>
          <cell r="Y36">
            <v>1892</v>
          </cell>
          <cell r="Z36">
            <v>1892</v>
          </cell>
          <cell r="AA36">
            <v>1892</v>
          </cell>
          <cell r="AB36">
            <v>1892</v>
          </cell>
          <cell r="AC36">
            <v>0</v>
          </cell>
          <cell r="AD36">
            <v>1892</v>
          </cell>
          <cell r="AE36">
            <v>1867</v>
          </cell>
          <cell r="AF36">
            <v>1845</v>
          </cell>
          <cell r="AG36">
            <v>1845</v>
          </cell>
          <cell r="AH36">
            <v>1777</v>
          </cell>
          <cell r="AI36">
            <v>1795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Unbilled</v>
          </cell>
          <cell r="D38">
            <v>33546.923076923085</v>
          </cell>
          <cell r="E38">
            <v>-18022.395326192796</v>
          </cell>
          <cell r="F38">
            <v>-19704.965920155795</v>
          </cell>
          <cell r="G38">
            <v>8510.2239532619278</v>
          </cell>
          <cell r="H38">
            <v>-31101.265822784811</v>
          </cell>
          <cell r="I38">
            <v>-3908.4712755598835</v>
          </cell>
          <cell r="J38">
            <v>-16358.325219084714</v>
          </cell>
          <cell r="K38">
            <v>-25945.472249269718</v>
          </cell>
          <cell r="L38">
            <v>26882.852969814998</v>
          </cell>
          <cell r="M38">
            <v>-15740.019474196692</v>
          </cell>
          <cell r="N38">
            <v>13364.167478091529</v>
          </cell>
          <cell r="O38">
            <v>69934.761441090566</v>
          </cell>
          <cell r="P38">
            <v>45635.832521908473</v>
          </cell>
          <cell r="T38">
            <v>35</v>
          </cell>
          <cell r="U38" t="str">
            <v>Unbilled</v>
          </cell>
          <cell r="X38">
            <v>-14500.486854917235</v>
          </cell>
          <cell r="Y38">
            <v>-21146.056475170401</v>
          </cell>
          <cell r="Z38">
            <v>2229.7955209347615</v>
          </cell>
          <cell r="AA38">
            <v>-32930.866601752678</v>
          </cell>
          <cell r="AB38">
            <v>-40629.990262901658</v>
          </cell>
          <cell r="AC38">
            <v>-41911.392405063292</v>
          </cell>
          <cell r="AD38">
            <v>12739.045764362221</v>
          </cell>
          <cell r="AE38">
            <v>-6878.2862706913347</v>
          </cell>
          <cell r="AF38">
            <v>-30739.045764362221</v>
          </cell>
          <cell r="AG38">
            <v>28058.422590068163</v>
          </cell>
          <cell r="AH38">
            <v>28692.307692307695</v>
          </cell>
          <cell r="AI38">
            <v>37434.27458617332</v>
          </cell>
        </row>
        <row r="39">
          <cell r="A39">
            <v>36</v>
          </cell>
          <cell r="B39" t="str">
            <v>Commercial Small Transp</v>
          </cell>
          <cell r="D39">
            <v>222418.42779238484</v>
          </cell>
          <cell r="E39">
            <v>23413</v>
          </cell>
          <cell r="F39">
            <v>24948</v>
          </cell>
          <cell r="G39">
            <v>18851</v>
          </cell>
          <cell r="H39">
            <v>17456</v>
          </cell>
          <cell r="I39">
            <v>15953</v>
          </cell>
          <cell r="J39">
            <v>15055</v>
          </cell>
          <cell r="K39">
            <v>15647</v>
          </cell>
          <cell r="L39">
            <v>14203.427792384848</v>
          </cell>
          <cell r="M39">
            <v>16747</v>
          </cell>
          <cell r="N39">
            <v>14466</v>
          </cell>
          <cell r="O39">
            <v>20676</v>
          </cell>
          <cell r="P39">
            <v>25003</v>
          </cell>
          <cell r="T39">
            <v>36</v>
          </cell>
          <cell r="U39" t="str">
            <v>Commercial Small Transp</v>
          </cell>
          <cell r="X39">
            <v>11564</v>
          </cell>
          <cell r="Y39">
            <v>12638</v>
          </cell>
          <cell r="Z39">
            <v>13060</v>
          </cell>
          <cell r="AA39">
            <v>11856</v>
          </cell>
          <cell r="AB39">
            <v>10324</v>
          </cell>
          <cell r="AC39">
            <v>11529</v>
          </cell>
          <cell r="AD39">
            <v>10036</v>
          </cell>
          <cell r="AE39">
            <v>10938</v>
          </cell>
          <cell r="AF39">
            <v>11667</v>
          </cell>
          <cell r="AG39">
            <v>12937</v>
          </cell>
          <cell r="AH39">
            <v>16111</v>
          </cell>
          <cell r="AI39">
            <v>18730</v>
          </cell>
        </row>
        <row r="40">
          <cell r="A40">
            <v>37</v>
          </cell>
          <cell r="B40" t="str">
            <v>Commercial Large Transp</v>
          </cell>
          <cell r="D40">
            <v>2428491.9400136331</v>
          </cell>
          <cell r="E40">
            <v>228407</v>
          </cell>
          <cell r="F40">
            <v>213661</v>
          </cell>
          <cell r="G40">
            <v>218651</v>
          </cell>
          <cell r="H40">
            <v>208971</v>
          </cell>
          <cell r="I40">
            <v>196600</v>
          </cell>
          <cell r="J40">
            <v>186120</v>
          </cell>
          <cell r="K40">
            <v>195515</v>
          </cell>
          <cell r="L40">
            <v>178663.94001363326</v>
          </cell>
          <cell r="M40">
            <v>176205</v>
          </cell>
          <cell r="N40">
            <v>190336</v>
          </cell>
          <cell r="O40">
            <v>206048</v>
          </cell>
          <cell r="P40">
            <v>229314</v>
          </cell>
          <cell r="T40">
            <v>37</v>
          </cell>
          <cell r="U40" t="str">
            <v>Commercial Large Transp</v>
          </cell>
          <cell r="X40">
            <v>179108</v>
          </cell>
          <cell r="Y40">
            <v>177283</v>
          </cell>
          <cell r="Z40">
            <v>184665</v>
          </cell>
          <cell r="AA40">
            <v>174817</v>
          </cell>
          <cell r="AB40">
            <v>180935</v>
          </cell>
          <cell r="AC40">
            <v>167209</v>
          </cell>
          <cell r="AD40">
            <v>164197</v>
          </cell>
          <cell r="AE40">
            <v>163371</v>
          </cell>
          <cell r="AF40">
            <v>160890</v>
          </cell>
          <cell r="AG40">
            <v>171987</v>
          </cell>
          <cell r="AH40">
            <v>183279</v>
          </cell>
          <cell r="AI40">
            <v>203790</v>
          </cell>
        </row>
        <row r="41">
          <cell r="A41">
            <v>38</v>
          </cell>
          <cell r="B41" t="str">
            <v>Interruptible Transp</v>
          </cell>
          <cell r="D41">
            <v>636853.25085207913</v>
          </cell>
          <cell r="E41">
            <v>57492</v>
          </cell>
          <cell r="F41">
            <v>49915</v>
          </cell>
          <cell r="G41">
            <v>56611</v>
          </cell>
          <cell r="H41">
            <v>51592</v>
          </cell>
          <cell r="I41">
            <v>49952</v>
          </cell>
          <cell r="J41">
            <v>47697</v>
          </cell>
          <cell r="K41">
            <v>39576</v>
          </cell>
          <cell r="L41">
            <v>53496.250852079073</v>
          </cell>
          <cell r="M41">
            <v>47795</v>
          </cell>
          <cell r="N41">
            <v>56983</v>
          </cell>
          <cell r="O41">
            <v>65183</v>
          </cell>
          <cell r="P41">
            <v>60561</v>
          </cell>
          <cell r="T41">
            <v>38</v>
          </cell>
          <cell r="U41" t="str">
            <v>Interruptible Transp</v>
          </cell>
          <cell r="X41">
            <v>55851</v>
          </cell>
          <cell r="Y41">
            <v>50558</v>
          </cell>
          <cell r="Z41">
            <v>59765</v>
          </cell>
          <cell r="AA41">
            <v>46746</v>
          </cell>
          <cell r="AB41">
            <v>48067</v>
          </cell>
          <cell r="AC41">
            <v>42647</v>
          </cell>
          <cell r="AD41">
            <v>47549</v>
          </cell>
          <cell r="AE41">
            <v>47624</v>
          </cell>
          <cell r="AF41">
            <v>46877</v>
          </cell>
          <cell r="AG41">
            <v>51879</v>
          </cell>
          <cell r="AH41">
            <v>54850</v>
          </cell>
          <cell r="AI41">
            <v>51187</v>
          </cell>
        </row>
        <row r="42">
          <cell r="A42">
            <v>39</v>
          </cell>
          <cell r="D42">
            <v>7063146.1563031385</v>
          </cell>
          <cell r="E42">
            <v>733412.60467380728</v>
          </cell>
          <cell r="F42">
            <v>692169.03407984413</v>
          </cell>
          <cell r="G42">
            <v>676247.22395326197</v>
          </cell>
          <cell r="H42">
            <v>587566.73417721526</v>
          </cell>
          <cell r="I42">
            <v>539221.52872444014</v>
          </cell>
          <cell r="J42">
            <v>481273.67478091526</v>
          </cell>
          <cell r="K42">
            <v>473797.52775073028</v>
          </cell>
          <cell r="L42">
            <v>488008.08619602979</v>
          </cell>
          <cell r="M42">
            <v>447409.98052580329</v>
          </cell>
          <cell r="N42">
            <v>519945.16747809155</v>
          </cell>
          <cell r="O42">
            <v>662903.76144109061</v>
          </cell>
          <cell r="P42">
            <v>761190.83252190845</v>
          </cell>
          <cell r="T42">
            <v>39</v>
          </cell>
          <cell r="X42">
            <v>651150.51314508275</v>
          </cell>
          <cell r="Y42">
            <v>624718.94352482958</v>
          </cell>
          <cell r="Z42">
            <v>668185.79552093474</v>
          </cell>
          <cell r="AA42">
            <v>590266.1333982473</v>
          </cell>
          <cell r="AB42">
            <v>515251.00973709836</v>
          </cell>
          <cell r="AC42">
            <v>450429.60759493674</v>
          </cell>
          <cell r="AD42">
            <v>462876.04576436221</v>
          </cell>
          <cell r="AE42">
            <v>450452.71372930869</v>
          </cell>
          <cell r="AF42">
            <v>425082.95423563779</v>
          </cell>
          <cell r="AG42">
            <v>521047.42259006819</v>
          </cell>
          <cell r="AH42">
            <v>571378.30769230775</v>
          </cell>
          <cell r="AI42">
            <v>667129.27458617324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672</v>
          </cell>
          <cell r="F45">
            <v>676</v>
          </cell>
          <cell r="G45">
            <v>675</v>
          </cell>
          <cell r="H45">
            <v>672</v>
          </cell>
          <cell r="I45">
            <v>672</v>
          </cell>
          <cell r="J45">
            <v>665</v>
          </cell>
          <cell r="K45">
            <v>666</v>
          </cell>
          <cell r="L45">
            <v>666</v>
          </cell>
          <cell r="M45">
            <v>674</v>
          </cell>
          <cell r="N45">
            <v>676</v>
          </cell>
          <cell r="O45">
            <v>677</v>
          </cell>
          <cell r="P45">
            <v>677</v>
          </cell>
          <cell r="T45">
            <v>42</v>
          </cell>
          <cell r="U45" t="str">
            <v>TS1 - RS</v>
          </cell>
          <cell r="X45">
            <v>680</v>
          </cell>
          <cell r="Y45">
            <v>681</v>
          </cell>
          <cell r="Z45">
            <v>683</v>
          </cell>
          <cell r="AA45">
            <v>680</v>
          </cell>
          <cell r="AB45">
            <v>681</v>
          </cell>
          <cell r="AC45">
            <v>678</v>
          </cell>
          <cell r="AD45">
            <v>680</v>
          </cell>
          <cell r="AE45">
            <v>674</v>
          </cell>
          <cell r="AF45">
            <v>676</v>
          </cell>
          <cell r="AG45">
            <v>673</v>
          </cell>
          <cell r="AH45">
            <v>674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T46">
            <v>43</v>
          </cell>
          <cell r="U46" t="str">
            <v>TS1 - Com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23</v>
          </cell>
          <cell r="G47">
            <v>24</v>
          </cell>
          <cell r="H47">
            <v>22</v>
          </cell>
          <cell r="I47">
            <v>22</v>
          </cell>
          <cell r="J47">
            <v>22</v>
          </cell>
          <cell r="K47">
            <v>21</v>
          </cell>
          <cell r="L47">
            <v>21</v>
          </cell>
          <cell r="M47">
            <v>21</v>
          </cell>
          <cell r="N47">
            <v>21</v>
          </cell>
          <cell r="O47">
            <v>24</v>
          </cell>
          <cell r="P47">
            <v>24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24</v>
          </cell>
          <cell r="AC47">
            <v>24</v>
          </cell>
          <cell r="AD47">
            <v>24</v>
          </cell>
          <cell r="AE47">
            <v>24</v>
          </cell>
          <cell r="AF47">
            <v>24</v>
          </cell>
          <cell r="AG47">
            <v>25</v>
          </cell>
          <cell r="AH47">
            <v>24</v>
          </cell>
          <cell r="AI47">
            <v>24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D50">
            <v>697.75</v>
          </cell>
          <cell r="E50">
            <v>699</v>
          </cell>
          <cell r="F50">
            <v>702</v>
          </cell>
          <cell r="G50">
            <v>702</v>
          </cell>
          <cell r="H50">
            <v>697</v>
          </cell>
          <cell r="I50">
            <v>697</v>
          </cell>
          <cell r="J50">
            <v>690</v>
          </cell>
          <cell r="K50">
            <v>690</v>
          </cell>
          <cell r="L50">
            <v>690</v>
          </cell>
          <cell r="M50">
            <v>698</v>
          </cell>
          <cell r="N50">
            <v>700</v>
          </cell>
          <cell r="O50">
            <v>704</v>
          </cell>
          <cell r="P50">
            <v>704</v>
          </cell>
          <cell r="T50">
            <v>47</v>
          </cell>
          <cell r="X50">
            <v>707</v>
          </cell>
          <cell r="Y50">
            <v>708</v>
          </cell>
          <cell r="Z50">
            <v>710</v>
          </cell>
          <cell r="AA50">
            <v>707</v>
          </cell>
          <cell r="AB50">
            <v>708</v>
          </cell>
          <cell r="AC50">
            <v>705</v>
          </cell>
          <cell r="AD50">
            <v>707</v>
          </cell>
          <cell r="AE50">
            <v>701</v>
          </cell>
          <cell r="AF50">
            <v>703</v>
          </cell>
          <cell r="AG50">
            <v>701</v>
          </cell>
          <cell r="AH50">
            <v>701</v>
          </cell>
          <cell r="AI50">
            <v>699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11614</v>
          </cell>
          <cell r="E53">
            <v>1232</v>
          </cell>
          <cell r="F53">
            <v>1023</v>
          </cell>
          <cell r="G53">
            <v>997</v>
          </cell>
          <cell r="H53">
            <v>1040</v>
          </cell>
          <cell r="I53">
            <v>905</v>
          </cell>
          <cell r="J53">
            <v>829</v>
          </cell>
          <cell r="K53">
            <v>895</v>
          </cell>
          <cell r="L53">
            <v>793</v>
          </cell>
          <cell r="M53">
            <v>944</v>
          </cell>
          <cell r="N53">
            <v>882</v>
          </cell>
          <cell r="O53">
            <v>924</v>
          </cell>
          <cell r="P53">
            <v>1150</v>
          </cell>
          <cell r="T53">
            <v>50</v>
          </cell>
          <cell r="U53" t="str">
            <v>TS1 - RS</v>
          </cell>
          <cell r="X53">
            <v>1064</v>
          </cell>
          <cell r="Y53">
            <v>1170</v>
          </cell>
          <cell r="Z53">
            <v>1038</v>
          </cell>
          <cell r="AA53">
            <v>1086</v>
          </cell>
          <cell r="AB53">
            <v>1121</v>
          </cell>
          <cell r="AC53">
            <v>765</v>
          </cell>
          <cell r="AD53">
            <v>882</v>
          </cell>
          <cell r="AE53">
            <v>838</v>
          </cell>
          <cell r="AF53">
            <v>841</v>
          </cell>
          <cell r="AG53">
            <v>1113</v>
          </cell>
          <cell r="AH53">
            <v>797</v>
          </cell>
          <cell r="AI53">
            <v>1126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6742</v>
          </cell>
          <cell r="E55">
            <v>625</v>
          </cell>
          <cell r="F55">
            <v>579</v>
          </cell>
          <cell r="G55">
            <v>618</v>
          </cell>
          <cell r="H55">
            <v>576</v>
          </cell>
          <cell r="I55">
            <v>500</v>
          </cell>
          <cell r="J55">
            <v>551</v>
          </cell>
          <cell r="K55">
            <v>533</v>
          </cell>
          <cell r="L55">
            <v>413</v>
          </cell>
          <cell r="M55">
            <v>570</v>
          </cell>
          <cell r="N55">
            <v>676</v>
          </cell>
          <cell r="O55">
            <v>490</v>
          </cell>
          <cell r="P55">
            <v>611</v>
          </cell>
          <cell r="T55">
            <v>52</v>
          </cell>
          <cell r="U55" t="str">
            <v>TS2</v>
          </cell>
          <cell r="X55">
            <v>513</v>
          </cell>
          <cell r="Y55">
            <v>705</v>
          </cell>
          <cell r="Z55">
            <v>596</v>
          </cell>
          <cell r="AA55">
            <v>609</v>
          </cell>
          <cell r="AB55">
            <v>605</v>
          </cell>
          <cell r="AC55">
            <v>465</v>
          </cell>
          <cell r="AD55">
            <v>694</v>
          </cell>
          <cell r="AE55">
            <v>552</v>
          </cell>
          <cell r="AF55">
            <v>524</v>
          </cell>
          <cell r="AG55">
            <v>595</v>
          </cell>
          <cell r="AH55">
            <v>542</v>
          </cell>
          <cell r="AI55">
            <v>599</v>
          </cell>
        </row>
        <row r="56">
          <cell r="A56">
            <v>53</v>
          </cell>
          <cell r="B56" t="str">
            <v>TS3</v>
          </cell>
          <cell r="D56">
            <v>234</v>
          </cell>
          <cell r="E56">
            <v>11</v>
          </cell>
          <cell r="F56">
            <v>7</v>
          </cell>
          <cell r="G56">
            <v>8</v>
          </cell>
          <cell r="H56">
            <v>7</v>
          </cell>
          <cell r="I56">
            <v>8</v>
          </cell>
          <cell r="J56">
            <v>15</v>
          </cell>
          <cell r="K56">
            <v>12</v>
          </cell>
          <cell r="L56">
            <v>7</v>
          </cell>
          <cell r="M56">
            <v>122</v>
          </cell>
          <cell r="N56">
            <v>8</v>
          </cell>
          <cell r="O56">
            <v>18</v>
          </cell>
          <cell r="P56">
            <v>11</v>
          </cell>
          <cell r="T56">
            <v>53</v>
          </cell>
          <cell r="U56" t="str">
            <v>TS3</v>
          </cell>
          <cell r="X56">
            <v>9</v>
          </cell>
          <cell r="Y56">
            <v>11</v>
          </cell>
          <cell r="Z56">
            <v>10</v>
          </cell>
          <cell r="AA56">
            <v>10</v>
          </cell>
          <cell r="AB56">
            <v>5</v>
          </cell>
          <cell r="AC56">
            <v>4</v>
          </cell>
          <cell r="AD56">
            <v>11</v>
          </cell>
          <cell r="AE56">
            <v>9</v>
          </cell>
          <cell r="AF56">
            <v>8</v>
          </cell>
          <cell r="AG56">
            <v>12</v>
          </cell>
          <cell r="AH56">
            <v>11</v>
          </cell>
          <cell r="AI56">
            <v>8</v>
          </cell>
        </row>
        <row r="57">
          <cell r="A57">
            <v>54</v>
          </cell>
          <cell r="B57" t="str">
            <v>TS4</v>
          </cell>
          <cell r="D57">
            <v>462159</v>
          </cell>
          <cell r="E57">
            <v>174861</v>
          </cell>
          <cell r="F57">
            <v>30073</v>
          </cell>
          <cell r="G57">
            <v>11186</v>
          </cell>
          <cell r="H57">
            <v>123927</v>
          </cell>
          <cell r="I57">
            <v>56441</v>
          </cell>
          <cell r="J57">
            <v>20520</v>
          </cell>
          <cell r="K57">
            <v>9654</v>
          </cell>
          <cell r="L57">
            <v>9306</v>
          </cell>
          <cell r="M57">
            <v>7456</v>
          </cell>
          <cell r="N57">
            <v>3405</v>
          </cell>
          <cell r="O57">
            <v>15109</v>
          </cell>
          <cell r="P57">
            <v>221</v>
          </cell>
          <cell r="T57">
            <v>54</v>
          </cell>
          <cell r="U57" t="str">
            <v>TS4</v>
          </cell>
          <cell r="X57">
            <v>204882</v>
          </cell>
          <cell r="Y57">
            <v>102443</v>
          </cell>
          <cell r="Z57">
            <v>128033</v>
          </cell>
          <cell r="AA57">
            <v>67731</v>
          </cell>
          <cell r="AB57">
            <v>46192</v>
          </cell>
          <cell r="AC57">
            <v>19080</v>
          </cell>
          <cell r="AD57">
            <v>11082</v>
          </cell>
          <cell r="AE57">
            <v>10749</v>
          </cell>
          <cell r="AF57">
            <v>21967</v>
          </cell>
          <cell r="AG57">
            <v>16217</v>
          </cell>
          <cell r="AH57">
            <v>13754</v>
          </cell>
          <cell r="AI57">
            <v>109727</v>
          </cell>
        </row>
        <row r="58">
          <cell r="A58">
            <v>55</v>
          </cell>
          <cell r="D58">
            <v>480749</v>
          </cell>
          <cell r="E58">
            <v>176729</v>
          </cell>
          <cell r="F58">
            <v>31682</v>
          </cell>
          <cell r="G58">
            <v>12809</v>
          </cell>
          <cell r="H58">
            <v>125550</v>
          </cell>
          <cell r="I58">
            <v>57854</v>
          </cell>
          <cell r="J58">
            <v>21915</v>
          </cell>
          <cell r="K58">
            <v>11094</v>
          </cell>
          <cell r="L58">
            <v>10519</v>
          </cell>
          <cell r="M58">
            <v>9092</v>
          </cell>
          <cell r="N58">
            <v>4971</v>
          </cell>
          <cell r="O58">
            <v>16541</v>
          </cell>
          <cell r="P58">
            <v>1993</v>
          </cell>
          <cell r="T58">
            <v>55</v>
          </cell>
          <cell r="X58">
            <v>206468</v>
          </cell>
          <cell r="Y58">
            <v>104329</v>
          </cell>
          <cell r="Z58">
            <v>129677</v>
          </cell>
          <cell r="AA58">
            <v>69436</v>
          </cell>
          <cell r="AB58">
            <v>47923</v>
          </cell>
          <cell r="AC58">
            <v>20314</v>
          </cell>
          <cell r="AD58">
            <v>12669</v>
          </cell>
          <cell r="AE58">
            <v>12148</v>
          </cell>
          <cell r="AF58">
            <v>23340</v>
          </cell>
          <cell r="AG58">
            <v>17937</v>
          </cell>
          <cell r="AH58">
            <v>15104</v>
          </cell>
          <cell r="AI58">
            <v>111460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718</v>
          </cell>
          <cell r="F62">
            <v>705</v>
          </cell>
          <cell r="G62">
            <v>704</v>
          </cell>
          <cell r="H62">
            <v>690</v>
          </cell>
          <cell r="I62">
            <v>653</v>
          </cell>
          <cell r="J62">
            <v>639</v>
          </cell>
          <cell r="K62">
            <v>626</v>
          </cell>
          <cell r="L62">
            <v>615</v>
          </cell>
          <cell r="M62">
            <v>607</v>
          </cell>
          <cell r="N62">
            <v>609</v>
          </cell>
          <cell r="O62">
            <v>618</v>
          </cell>
          <cell r="P62">
            <v>647</v>
          </cell>
          <cell r="T62">
            <v>59</v>
          </cell>
          <cell r="U62" t="str">
            <v>Residential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710</v>
          </cell>
        </row>
        <row r="63">
          <cell r="A63">
            <v>60</v>
          </cell>
          <cell r="B63" t="str">
            <v>Commercial</v>
          </cell>
          <cell r="E63">
            <v>29</v>
          </cell>
          <cell r="F63">
            <v>30</v>
          </cell>
          <cell r="G63">
            <v>30</v>
          </cell>
          <cell r="H63">
            <v>30</v>
          </cell>
          <cell r="I63">
            <v>30</v>
          </cell>
          <cell r="J63">
            <v>30</v>
          </cell>
          <cell r="K63">
            <v>30</v>
          </cell>
          <cell r="L63">
            <v>27</v>
          </cell>
          <cell r="M63">
            <v>27</v>
          </cell>
          <cell r="N63">
            <v>27</v>
          </cell>
          <cell r="O63">
            <v>27</v>
          </cell>
          <cell r="P63">
            <v>25</v>
          </cell>
          <cell r="T63">
            <v>60</v>
          </cell>
          <cell r="U63" t="str">
            <v>Commercial</v>
          </cell>
          <cell r="AI63">
            <v>29</v>
          </cell>
        </row>
        <row r="64">
          <cell r="A64">
            <v>61</v>
          </cell>
          <cell r="B64" t="str">
            <v>Special Contract</v>
          </cell>
          <cell r="T64">
            <v>61</v>
          </cell>
          <cell r="U64" t="str">
            <v>Special Contract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62</v>
          </cell>
          <cell r="B65" t="str">
            <v>Other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D66">
            <v>681.08333333333337</v>
          </cell>
          <cell r="E66">
            <v>747</v>
          </cell>
          <cell r="F66">
            <v>735</v>
          </cell>
          <cell r="G66">
            <v>734</v>
          </cell>
          <cell r="H66">
            <v>720</v>
          </cell>
          <cell r="I66">
            <v>683</v>
          </cell>
          <cell r="J66">
            <v>669</v>
          </cell>
          <cell r="K66">
            <v>656</v>
          </cell>
          <cell r="L66">
            <v>642</v>
          </cell>
          <cell r="M66">
            <v>634</v>
          </cell>
          <cell r="N66">
            <v>636</v>
          </cell>
          <cell r="O66">
            <v>645</v>
          </cell>
          <cell r="P66">
            <v>672</v>
          </cell>
          <cell r="T66">
            <v>63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E69">
            <v>1302</v>
          </cell>
          <cell r="F69">
            <v>1239</v>
          </cell>
          <cell r="G69">
            <v>775</v>
          </cell>
          <cell r="H69">
            <v>760</v>
          </cell>
          <cell r="I69">
            <v>608</v>
          </cell>
          <cell r="J69">
            <v>513</v>
          </cell>
          <cell r="K69">
            <v>499</v>
          </cell>
          <cell r="L69">
            <v>422</v>
          </cell>
          <cell r="M69">
            <v>413</v>
          </cell>
          <cell r="N69">
            <v>467</v>
          </cell>
          <cell r="O69">
            <v>567</v>
          </cell>
          <cell r="P69">
            <v>987</v>
          </cell>
          <cell r="T69">
            <v>66</v>
          </cell>
          <cell r="U69" t="str">
            <v>Residential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8746</v>
          </cell>
        </row>
        <row r="70">
          <cell r="A70">
            <v>67</v>
          </cell>
          <cell r="B70" t="str">
            <v>Commercial</v>
          </cell>
          <cell r="E70">
            <v>1082</v>
          </cell>
          <cell r="F70">
            <v>1113</v>
          </cell>
          <cell r="G70">
            <v>960</v>
          </cell>
          <cell r="H70">
            <v>943</v>
          </cell>
          <cell r="I70">
            <v>479</v>
          </cell>
          <cell r="J70">
            <v>379</v>
          </cell>
          <cell r="K70">
            <v>284</v>
          </cell>
          <cell r="L70">
            <v>155</v>
          </cell>
          <cell r="M70">
            <v>166</v>
          </cell>
          <cell r="N70">
            <v>464</v>
          </cell>
          <cell r="O70">
            <v>813</v>
          </cell>
          <cell r="P70">
            <v>761</v>
          </cell>
          <cell r="T70">
            <v>67</v>
          </cell>
          <cell r="U70" t="str">
            <v>Commercial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11421</v>
          </cell>
        </row>
        <row r="71">
          <cell r="A71">
            <v>68</v>
          </cell>
          <cell r="B71" t="str">
            <v>Special Contract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T71">
            <v>68</v>
          </cell>
          <cell r="U71" t="str">
            <v>Special Contract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69</v>
          </cell>
          <cell r="D72">
            <v>0</v>
          </cell>
          <cell r="E72">
            <v>2384</v>
          </cell>
          <cell r="F72">
            <v>2352</v>
          </cell>
          <cell r="G72">
            <v>1735</v>
          </cell>
          <cell r="H72">
            <v>1703</v>
          </cell>
          <cell r="I72">
            <v>1087</v>
          </cell>
          <cell r="J72">
            <v>892</v>
          </cell>
          <cell r="K72">
            <v>783</v>
          </cell>
          <cell r="L72">
            <v>577</v>
          </cell>
          <cell r="M72">
            <v>579</v>
          </cell>
          <cell r="N72">
            <v>931</v>
          </cell>
          <cell r="O72">
            <v>1380</v>
          </cell>
          <cell r="P72">
            <v>1748</v>
          </cell>
          <cell r="T72">
            <v>69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</row>
        <row r="76">
          <cell r="A76">
            <v>73</v>
          </cell>
          <cell r="B76" t="str">
            <v xml:space="preserve">Customers </v>
          </cell>
          <cell r="D76">
            <v>670989.90052162181</v>
          </cell>
          <cell r="E76">
            <v>55637</v>
          </cell>
          <cell r="F76">
            <v>55778</v>
          </cell>
          <cell r="G76">
            <v>56061</v>
          </cell>
          <cell r="H76">
            <v>56399</v>
          </cell>
          <cell r="I76">
            <v>55963</v>
          </cell>
          <cell r="J76">
            <v>56314</v>
          </cell>
          <cell r="K76">
            <v>56035</v>
          </cell>
          <cell r="L76">
            <v>55937.900521621857</v>
          </cell>
          <cell r="M76">
            <v>55457</v>
          </cell>
          <cell r="N76">
            <v>55573</v>
          </cell>
          <cell r="O76">
            <v>55905</v>
          </cell>
          <cell r="P76">
            <v>55930</v>
          </cell>
          <cell r="T76">
            <v>73</v>
          </cell>
        </row>
        <row r="77">
          <cell r="A77">
            <v>74</v>
          </cell>
          <cell r="B77" t="str">
            <v>Volume (mcfs)</v>
          </cell>
          <cell r="D77">
            <v>8417969.8026011474</v>
          </cell>
          <cell r="E77">
            <v>892586</v>
          </cell>
          <cell r="F77">
            <v>788485</v>
          </cell>
          <cell r="G77">
            <v>842562</v>
          </cell>
          <cell r="H77">
            <v>727626</v>
          </cell>
          <cell r="I77">
            <v>657097</v>
          </cell>
          <cell r="J77">
            <v>565749</v>
          </cell>
          <cell r="K77">
            <v>538893</v>
          </cell>
          <cell r="L77">
            <v>549219.80260114698</v>
          </cell>
          <cell r="M77">
            <v>601942</v>
          </cell>
          <cell r="N77">
            <v>618890</v>
          </cell>
          <cell r="O77">
            <v>760642</v>
          </cell>
          <cell r="P77">
            <v>874278</v>
          </cell>
          <cell r="T77">
            <v>74</v>
          </cell>
        </row>
        <row r="78">
          <cell r="A78">
            <v>75</v>
          </cell>
          <cell r="B78" t="str">
            <v>Volume (dts) (mcfs*1.0269)</v>
          </cell>
          <cell r="D78">
            <v>8644413</v>
          </cell>
          <cell r="E78">
            <v>916597</v>
          </cell>
          <cell r="F78">
            <v>809695</v>
          </cell>
          <cell r="G78">
            <v>865227</v>
          </cell>
          <cell r="H78">
            <v>747199</v>
          </cell>
          <cell r="I78">
            <v>674773</v>
          </cell>
          <cell r="J78">
            <v>580968</v>
          </cell>
          <cell r="K78">
            <v>553389</v>
          </cell>
          <cell r="L78">
            <v>563994</v>
          </cell>
          <cell r="M78">
            <v>618134</v>
          </cell>
          <cell r="N78">
            <v>635538</v>
          </cell>
          <cell r="O78">
            <v>781103</v>
          </cell>
          <cell r="P78">
            <v>897796</v>
          </cell>
          <cell r="T78">
            <v>75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- 2014 -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1281619</v>
          </cell>
          <cell r="E81">
            <v>176519</v>
          </cell>
          <cell r="F81">
            <v>171459</v>
          </cell>
          <cell r="G81">
            <v>136179</v>
          </cell>
          <cell r="H81">
            <v>119242</v>
          </cell>
          <cell r="I81">
            <v>87467</v>
          </cell>
          <cell r="J81">
            <v>73901</v>
          </cell>
          <cell r="K81">
            <v>68723</v>
          </cell>
          <cell r="L81">
            <v>59458</v>
          </cell>
          <cell r="M81">
            <v>64482</v>
          </cell>
          <cell r="N81">
            <v>69663</v>
          </cell>
          <cell r="O81">
            <v>98190</v>
          </cell>
          <cell r="P81">
            <v>156336</v>
          </cell>
          <cell r="T81">
            <v>78</v>
          </cell>
          <cell r="U81" t="str">
            <v>Volumes (in DTs)</v>
          </cell>
          <cell r="W81">
            <v>1217858</v>
          </cell>
          <cell r="X81">
            <v>154538</v>
          </cell>
          <cell r="Y81">
            <v>145443</v>
          </cell>
          <cell r="Z81">
            <v>147235</v>
          </cell>
          <cell r="AA81">
            <v>127966</v>
          </cell>
          <cell r="AB81">
            <v>92132</v>
          </cell>
          <cell r="AC81">
            <v>75708</v>
          </cell>
          <cell r="AD81">
            <v>63425</v>
          </cell>
          <cell r="AE81">
            <v>62484</v>
          </cell>
          <cell r="AF81">
            <v>63290</v>
          </cell>
          <cell r="AG81">
            <v>69654</v>
          </cell>
          <cell r="AH81">
            <v>86331</v>
          </cell>
          <cell r="AI81">
            <v>129652</v>
          </cell>
        </row>
        <row r="82">
          <cell r="A82">
            <v>79</v>
          </cell>
          <cell r="B82" t="str">
            <v>Commercial</v>
          </cell>
          <cell r="D82">
            <v>2596547</v>
          </cell>
          <cell r="E82">
            <v>281864</v>
          </cell>
          <cell r="F82">
            <v>267346</v>
          </cell>
          <cell r="G82">
            <v>250944</v>
          </cell>
          <cell r="H82">
            <v>233986</v>
          </cell>
          <cell r="I82">
            <v>203274</v>
          </cell>
          <cell r="J82">
            <v>183899</v>
          </cell>
          <cell r="K82">
            <v>189263</v>
          </cell>
          <cell r="L82">
            <v>162919</v>
          </cell>
          <cell r="M82">
            <v>166178</v>
          </cell>
          <cell r="N82">
            <v>184282</v>
          </cell>
          <cell r="O82">
            <v>213858</v>
          </cell>
          <cell r="P82">
            <v>258734</v>
          </cell>
          <cell r="T82">
            <v>79</v>
          </cell>
          <cell r="U82" t="str">
            <v>Residential</v>
          </cell>
          <cell r="W82">
            <v>2735855</v>
          </cell>
          <cell r="X82">
            <v>277493</v>
          </cell>
          <cell r="Y82">
            <v>272785</v>
          </cell>
          <cell r="Z82">
            <v>273907</v>
          </cell>
          <cell r="AA82">
            <v>274048</v>
          </cell>
          <cell r="AB82">
            <v>234715</v>
          </cell>
          <cell r="AC82">
            <v>203804</v>
          </cell>
          <cell r="AD82">
            <v>172702</v>
          </cell>
          <cell r="AE82">
            <v>180683</v>
          </cell>
          <cell r="AF82">
            <v>180867</v>
          </cell>
          <cell r="AG82">
            <v>195190</v>
          </cell>
          <cell r="AH82">
            <v>211260</v>
          </cell>
          <cell r="AI82">
            <v>258401</v>
          </cell>
        </row>
        <row r="83">
          <cell r="A83">
            <v>80</v>
          </cell>
          <cell r="B83" t="str">
            <v xml:space="preserve">Industrial </v>
          </cell>
          <cell r="D83">
            <v>3850797</v>
          </cell>
          <cell r="E83">
            <v>497197</v>
          </cell>
          <cell r="F83">
            <v>327167</v>
          </cell>
          <cell r="G83">
            <v>313512</v>
          </cell>
          <cell r="H83">
            <v>412758</v>
          </cell>
          <cell r="I83">
            <v>327526</v>
          </cell>
          <cell r="J83">
            <v>276639</v>
          </cell>
          <cell r="K83">
            <v>267397</v>
          </cell>
          <cell r="L83">
            <v>262547</v>
          </cell>
          <cell r="M83">
            <v>254880</v>
          </cell>
          <cell r="N83">
            <v>272324</v>
          </cell>
          <cell r="O83">
            <v>315275</v>
          </cell>
          <cell r="P83">
            <v>323575</v>
          </cell>
          <cell r="T83">
            <v>80</v>
          </cell>
          <cell r="W83">
            <v>3715713</v>
          </cell>
          <cell r="X83">
            <v>463548</v>
          </cell>
          <cell r="Y83">
            <v>352147</v>
          </cell>
          <cell r="Z83">
            <v>395894</v>
          </cell>
          <cell r="AA83">
            <v>309251</v>
          </cell>
          <cell r="AB83">
            <v>293198</v>
          </cell>
          <cell r="AC83">
            <v>246934</v>
          </cell>
          <cell r="AD83">
            <v>239128</v>
          </cell>
          <cell r="AE83">
            <v>238941</v>
          </cell>
          <cell r="AF83">
            <v>247895</v>
          </cell>
          <cell r="AG83">
            <v>259826</v>
          </cell>
          <cell r="AH83">
            <v>275203</v>
          </cell>
          <cell r="AI83">
            <v>393748</v>
          </cell>
        </row>
        <row r="84">
          <cell r="A84">
            <v>81</v>
          </cell>
          <cell r="B84" t="str">
            <v>Other</v>
          </cell>
          <cell r="D84">
            <v>34450</v>
          </cell>
          <cell r="E84">
            <v>-18507</v>
          </cell>
          <cell r="F84">
            <v>-20235</v>
          </cell>
          <cell r="G84">
            <v>8739</v>
          </cell>
          <cell r="H84">
            <v>-31938</v>
          </cell>
          <cell r="I84">
            <v>-4014</v>
          </cell>
          <cell r="J84">
            <v>-16798</v>
          </cell>
          <cell r="K84">
            <v>-26643</v>
          </cell>
          <cell r="L84">
            <v>27606</v>
          </cell>
          <cell r="M84">
            <v>-16163</v>
          </cell>
          <cell r="N84">
            <v>13724</v>
          </cell>
          <cell r="O84">
            <v>71816</v>
          </cell>
          <cell r="P84">
            <v>46863</v>
          </cell>
          <cell r="T84">
            <v>81</v>
          </cell>
          <cell r="W84">
            <v>-81724</v>
          </cell>
          <cell r="X84">
            <v>-14891</v>
          </cell>
          <cell r="Y84">
            <v>-21715</v>
          </cell>
          <cell r="Z84">
            <v>2290</v>
          </cell>
          <cell r="AA84">
            <v>-33817</v>
          </cell>
          <cell r="AB84">
            <v>-41723</v>
          </cell>
          <cell r="AC84">
            <v>-43039</v>
          </cell>
          <cell r="AD84">
            <v>13082</v>
          </cell>
          <cell r="AE84">
            <v>-7063</v>
          </cell>
          <cell r="AF84">
            <v>-31566</v>
          </cell>
          <cell r="AG84">
            <v>28813</v>
          </cell>
          <cell r="AH84">
            <v>29464</v>
          </cell>
          <cell r="AI84">
            <v>38441</v>
          </cell>
        </row>
        <row r="85">
          <cell r="A85">
            <v>82</v>
          </cell>
          <cell r="B85" t="str">
            <v>Total Deliveries</v>
          </cell>
          <cell r="D85">
            <v>7763413</v>
          </cell>
          <cell r="E85">
            <v>937073</v>
          </cell>
          <cell r="F85">
            <v>745737</v>
          </cell>
          <cell r="G85">
            <v>709374</v>
          </cell>
          <cell r="H85">
            <v>734048</v>
          </cell>
          <cell r="I85">
            <v>614253</v>
          </cell>
          <cell r="J85">
            <v>517641</v>
          </cell>
          <cell r="K85">
            <v>498740</v>
          </cell>
          <cell r="L85">
            <v>512530</v>
          </cell>
          <cell r="M85">
            <v>469377</v>
          </cell>
          <cell r="N85">
            <v>539993</v>
          </cell>
          <cell r="O85">
            <v>699139</v>
          </cell>
          <cell r="P85">
            <v>785508</v>
          </cell>
          <cell r="T85">
            <v>82</v>
          </cell>
          <cell r="U85">
            <v>0</v>
          </cell>
          <cell r="W85">
            <v>7587702</v>
          </cell>
          <cell r="X85">
            <v>880688</v>
          </cell>
          <cell r="Y85">
            <v>748660</v>
          </cell>
          <cell r="Z85">
            <v>819326</v>
          </cell>
          <cell r="AA85">
            <v>677448</v>
          </cell>
          <cell r="AB85">
            <v>578322</v>
          </cell>
          <cell r="AC85">
            <v>483407</v>
          </cell>
          <cell r="AD85">
            <v>488337</v>
          </cell>
          <cell r="AE85">
            <v>475045</v>
          </cell>
          <cell r="AF85">
            <v>460486</v>
          </cell>
          <cell r="AG85">
            <v>553483</v>
          </cell>
          <cell r="AH85">
            <v>602258</v>
          </cell>
          <cell r="AI85">
            <v>820242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- 2014</v>
          </cell>
          <cell r="T89">
            <v>86</v>
          </cell>
          <cell r="U89" t="str">
            <v>Customers - 2013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50512</v>
          </cell>
          <cell r="F91">
            <v>50594</v>
          </cell>
          <cell r="G91">
            <v>50713</v>
          </cell>
          <cell r="H91">
            <v>50784</v>
          </cell>
          <cell r="I91">
            <v>50821</v>
          </cell>
          <cell r="J91">
            <v>50826</v>
          </cell>
          <cell r="K91">
            <v>50827</v>
          </cell>
          <cell r="L91">
            <v>50796</v>
          </cell>
          <cell r="M91">
            <v>50781</v>
          </cell>
          <cell r="N91">
            <v>50778</v>
          </cell>
          <cell r="O91">
            <v>50794</v>
          </cell>
          <cell r="P91">
            <v>50835</v>
          </cell>
          <cell r="T91">
            <v>88</v>
          </cell>
          <cell r="U91" t="str">
            <v>Residential</v>
          </cell>
          <cell r="X91">
            <v>49013</v>
          </cell>
          <cell r="Y91">
            <v>49077</v>
          </cell>
          <cell r="Z91">
            <v>49179</v>
          </cell>
          <cell r="AA91">
            <v>49303</v>
          </cell>
          <cell r="AB91">
            <v>49309</v>
          </cell>
          <cell r="AC91">
            <v>49368</v>
          </cell>
          <cell r="AD91">
            <v>49378</v>
          </cell>
          <cell r="AE91">
            <v>49376</v>
          </cell>
          <cell r="AF91">
            <v>49366</v>
          </cell>
          <cell r="AG91">
            <v>49354</v>
          </cell>
          <cell r="AH91">
            <v>49357</v>
          </cell>
          <cell r="AI91">
            <v>50086</v>
          </cell>
        </row>
        <row r="92">
          <cell r="A92">
            <v>89</v>
          </cell>
          <cell r="B92" t="str">
            <v>Commercial</v>
          </cell>
          <cell r="E92">
            <v>4401</v>
          </cell>
          <cell r="F92">
            <v>4407</v>
          </cell>
          <cell r="G92">
            <v>4415</v>
          </cell>
          <cell r="H92">
            <v>4416</v>
          </cell>
          <cell r="I92">
            <v>4411</v>
          </cell>
          <cell r="J92">
            <v>4403</v>
          </cell>
          <cell r="K92">
            <v>4398</v>
          </cell>
          <cell r="L92">
            <v>4391</v>
          </cell>
          <cell r="M92">
            <v>4383</v>
          </cell>
          <cell r="N92">
            <v>4378</v>
          </cell>
          <cell r="O92">
            <v>4372</v>
          </cell>
          <cell r="P92">
            <v>4368</v>
          </cell>
          <cell r="T92">
            <v>89</v>
          </cell>
          <cell r="U92" t="str">
            <v>Commercial</v>
          </cell>
          <cell r="X92">
            <v>4549</v>
          </cell>
          <cell r="Y92">
            <v>4547</v>
          </cell>
          <cell r="Z92">
            <v>4560</v>
          </cell>
          <cell r="AA92">
            <v>4569</v>
          </cell>
          <cell r="AB92">
            <v>4558</v>
          </cell>
          <cell r="AC92">
            <v>4551</v>
          </cell>
          <cell r="AD92">
            <v>4539</v>
          </cell>
          <cell r="AE92">
            <v>4526</v>
          </cell>
          <cell r="AF92">
            <v>4514</v>
          </cell>
          <cell r="AG92">
            <v>4502</v>
          </cell>
          <cell r="AH92">
            <v>4489</v>
          </cell>
          <cell r="AI92">
            <v>4509</v>
          </cell>
        </row>
        <row r="93">
          <cell r="A93">
            <v>90</v>
          </cell>
          <cell r="B93" t="str">
            <v xml:space="preserve">Industrial </v>
          </cell>
          <cell r="E93">
            <v>1205</v>
          </cell>
          <cell r="F93">
            <v>1214</v>
          </cell>
          <cell r="G93">
            <v>1221</v>
          </cell>
          <cell r="H93">
            <v>1228</v>
          </cell>
          <cell r="I93">
            <v>1238</v>
          </cell>
          <cell r="J93">
            <v>1247</v>
          </cell>
          <cell r="K93">
            <v>1256</v>
          </cell>
          <cell r="L93">
            <v>1267</v>
          </cell>
          <cell r="M93">
            <v>1280</v>
          </cell>
          <cell r="N93">
            <v>1294</v>
          </cell>
          <cell r="O93">
            <v>1307</v>
          </cell>
          <cell r="P93">
            <v>1321</v>
          </cell>
          <cell r="T93">
            <v>90</v>
          </cell>
          <cell r="U93" t="str">
            <v xml:space="preserve">Industrial </v>
          </cell>
          <cell r="X93">
            <v>905</v>
          </cell>
          <cell r="Y93">
            <v>909</v>
          </cell>
          <cell r="Z93">
            <v>913</v>
          </cell>
          <cell r="AA93">
            <v>927</v>
          </cell>
          <cell r="AB93">
            <v>941</v>
          </cell>
          <cell r="AC93">
            <v>956</v>
          </cell>
          <cell r="AD93">
            <v>970</v>
          </cell>
          <cell r="AE93">
            <v>983</v>
          </cell>
          <cell r="AF93">
            <v>996</v>
          </cell>
          <cell r="AG93">
            <v>1012</v>
          </cell>
          <cell r="AH93">
            <v>1026</v>
          </cell>
          <cell r="AI93">
            <v>1040</v>
          </cell>
        </row>
        <row r="94">
          <cell r="A94">
            <v>91</v>
          </cell>
          <cell r="B94" t="str">
            <v>Other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56118</v>
          </cell>
          <cell r="F95">
            <v>56215</v>
          </cell>
          <cell r="G95">
            <v>56349</v>
          </cell>
          <cell r="H95">
            <v>56428</v>
          </cell>
          <cell r="I95">
            <v>56470</v>
          </cell>
          <cell r="J95">
            <v>56476</v>
          </cell>
          <cell r="K95">
            <v>56481</v>
          </cell>
          <cell r="L95">
            <v>56454</v>
          </cell>
          <cell r="M95">
            <v>56444</v>
          </cell>
          <cell r="N95">
            <v>56450</v>
          </cell>
          <cell r="O95">
            <v>56473</v>
          </cell>
          <cell r="P95">
            <v>56524</v>
          </cell>
          <cell r="T95">
            <v>92</v>
          </cell>
          <cell r="U95" t="str">
            <v>Total customers</v>
          </cell>
          <cell r="X95">
            <v>54467</v>
          </cell>
          <cell r="Y95">
            <v>54533</v>
          </cell>
          <cell r="Z95">
            <v>54652</v>
          </cell>
          <cell r="AA95">
            <v>54799</v>
          </cell>
          <cell r="AB95">
            <v>54808</v>
          </cell>
          <cell r="AC95">
            <v>54875</v>
          </cell>
          <cell r="AD95">
            <v>54887</v>
          </cell>
          <cell r="AE95">
            <v>54885</v>
          </cell>
          <cell r="AF95">
            <v>54876</v>
          </cell>
          <cell r="AG95">
            <v>54868</v>
          </cell>
          <cell r="AH95">
            <v>54872</v>
          </cell>
          <cell r="AI95">
            <v>55635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- 2014 -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- 2013 -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171895</v>
          </cell>
          <cell r="F99">
            <v>338863</v>
          </cell>
          <cell r="G99">
            <v>471475</v>
          </cell>
          <cell r="H99">
            <v>587593</v>
          </cell>
          <cell r="I99">
            <v>672769</v>
          </cell>
          <cell r="J99">
            <v>744734</v>
          </cell>
          <cell r="K99">
            <v>811657</v>
          </cell>
          <cell r="L99">
            <v>869557.26633557305</v>
          </cell>
          <cell r="M99">
            <v>932350.26633557305</v>
          </cell>
          <cell r="N99">
            <v>1000188.266335573</v>
          </cell>
          <cell r="O99">
            <v>1095806.266335573</v>
          </cell>
          <cell r="P99">
            <v>1248047.266335573</v>
          </cell>
          <cell r="T99">
            <v>96</v>
          </cell>
          <cell r="U99" t="str">
            <v>Residential</v>
          </cell>
          <cell r="X99">
            <v>150490</v>
          </cell>
          <cell r="Y99">
            <v>292123</v>
          </cell>
          <cell r="Z99">
            <v>435501</v>
          </cell>
          <cell r="AA99">
            <v>560115</v>
          </cell>
          <cell r="AB99">
            <v>649834</v>
          </cell>
          <cell r="AC99">
            <v>723559</v>
          </cell>
          <cell r="AD99">
            <v>785323</v>
          </cell>
          <cell r="AE99">
            <v>846170</v>
          </cell>
          <cell r="AF99">
            <v>907802</v>
          </cell>
          <cell r="AG99">
            <v>975631</v>
          </cell>
          <cell r="AH99">
            <v>1059701</v>
          </cell>
          <cell r="AI99">
            <v>1185957</v>
          </cell>
        </row>
        <row r="100">
          <cell r="A100">
            <v>97</v>
          </cell>
          <cell r="B100" t="str">
            <v>Commercial</v>
          </cell>
          <cell r="E100">
            <v>274480</v>
          </cell>
          <cell r="F100">
            <v>534823</v>
          </cell>
          <cell r="G100">
            <v>779193</v>
          </cell>
          <cell r="H100">
            <v>1007050</v>
          </cell>
          <cell r="I100">
            <v>1204999</v>
          </cell>
          <cell r="J100">
            <v>1384081</v>
          </cell>
          <cell r="K100">
            <v>1568386</v>
          </cell>
          <cell r="L100">
            <v>1727037.3482325445</v>
          </cell>
          <cell r="M100">
            <v>1888862.3482325445</v>
          </cell>
          <cell r="N100">
            <v>2068317.3482325445</v>
          </cell>
          <cell r="O100">
            <v>2276573.3482325445</v>
          </cell>
          <cell r="P100">
            <v>2528529.3482325445</v>
          </cell>
          <cell r="T100">
            <v>97</v>
          </cell>
          <cell r="U100" t="str">
            <v>Commercial</v>
          </cell>
          <cell r="X100">
            <v>270224</v>
          </cell>
          <cell r="Y100">
            <v>535863</v>
          </cell>
          <cell r="Z100">
            <v>802595</v>
          </cell>
          <cell r="AA100">
            <v>1069464</v>
          </cell>
          <cell r="AB100">
            <v>1298031</v>
          </cell>
          <cell r="AC100">
            <v>1496496</v>
          </cell>
          <cell r="AD100">
            <v>1664674</v>
          </cell>
          <cell r="AE100">
            <v>1840624</v>
          </cell>
          <cell r="AF100">
            <v>2016753</v>
          </cell>
          <cell r="AG100">
            <v>2206830</v>
          </cell>
          <cell r="AH100">
            <v>2412556</v>
          </cell>
          <cell r="AI100">
            <v>2664188</v>
          </cell>
        </row>
        <row r="101">
          <cell r="A101">
            <v>98</v>
          </cell>
          <cell r="B101" t="str">
            <v xml:space="preserve">Industrial </v>
          </cell>
          <cell r="E101">
            <v>484173</v>
          </cell>
          <cell r="F101">
            <v>802770</v>
          </cell>
          <cell r="G101">
            <v>1108069</v>
          </cell>
          <cell r="H101">
            <v>1510015</v>
          </cell>
          <cell r="I101">
            <v>1828961</v>
          </cell>
          <cell r="J101">
            <v>2098353</v>
          </cell>
          <cell r="K101">
            <v>2358745</v>
          </cell>
          <cell r="L101">
            <v>2614414.618658097</v>
          </cell>
          <cell r="M101">
            <v>2862617.618658097</v>
          </cell>
          <cell r="N101">
            <v>3127807.618658097</v>
          </cell>
          <cell r="O101">
            <v>3434823.618658097</v>
          </cell>
          <cell r="P101">
            <v>3749922.618658097</v>
          </cell>
          <cell r="T101">
            <v>98</v>
          </cell>
          <cell r="U101" t="str">
            <v xml:space="preserve">Industrial </v>
          </cell>
          <cell r="X101">
            <v>451405</v>
          </cell>
          <cell r="Y101">
            <v>794327</v>
          </cell>
          <cell r="Z101">
            <v>1179850</v>
          </cell>
          <cell r="AA101">
            <v>1481000</v>
          </cell>
          <cell r="AB101">
            <v>1766518</v>
          </cell>
          <cell r="AC101">
            <v>2006983</v>
          </cell>
          <cell r="AD101">
            <v>2239847</v>
          </cell>
          <cell r="AE101">
            <v>2472529</v>
          </cell>
          <cell r="AF101">
            <v>2713930</v>
          </cell>
          <cell r="AG101">
            <v>2966950</v>
          </cell>
          <cell r="AH101">
            <v>3234944</v>
          </cell>
          <cell r="AI101">
            <v>3618378</v>
          </cell>
        </row>
        <row r="102">
          <cell r="A102">
            <v>99</v>
          </cell>
          <cell r="B102" t="str">
            <v>Other</v>
          </cell>
          <cell r="E102">
            <v>-18022.395326192796</v>
          </cell>
          <cell r="F102">
            <v>-37727.361246348592</v>
          </cell>
          <cell r="G102">
            <v>-29217.137293086664</v>
          </cell>
          <cell r="H102">
            <v>-60318.403115871479</v>
          </cell>
          <cell r="I102">
            <v>-64226.87439143136</v>
          </cell>
          <cell r="J102">
            <v>-80585.19961051608</v>
          </cell>
          <cell r="K102">
            <v>-106530.6718597858</v>
          </cell>
          <cell r="L102">
            <v>-79647.818889970804</v>
          </cell>
          <cell r="M102">
            <v>-95387.838364167488</v>
          </cell>
          <cell r="N102">
            <v>-82023.670886075954</v>
          </cell>
          <cell r="O102">
            <v>-12088.909444985387</v>
          </cell>
          <cell r="P102">
            <v>33546.923076923085</v>
          </cell>
          <cell r="T102">
            <v>99</v>
          </cell>
          <cell r="U102" t="str">
            <v>Other</v>
          </cell>
          <cell r="X102">
            <v>-14500.486854917235</v>
          </cell>
          <cell r="Y102">
            <v>-35646.543330087632</v>
          </cell>
          <cell r="Z102">
            <v>-33416.747809152868</v>
          </cell>
          <cell r="AA102">
            <v>-66347.614410905546</v>
          </cell>
          <cell r="AB102">
            <v>-106977.6046738072</v>
          </cell>
          <cell r="AC102">
            <v>-148888.99707887048</v>
          </cell>
          <cell r="AD102">
            <v>-136149.95131450827</v>
          </cell>
          <cell r="AE102">
            <v>-143028.23758519962</v>
          </cell>
          <cell r="AF102">
            <v>-173767.28334956185</v>
          </cell>
          <cell r="AG102">
            <v>-145708.86075949369</v>
          </cell>
          <cell r="AH102">
            <v>-117016.553067186</v>
          </cell>
          <cell r="AI102">
            <v>-79582.278481012676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912525.60467380716</v>
          </cell>
          <cell r="F103">
            <v>1638728.6387536514</v>
          </cell>
          <cell r="G103">
            <v>2329519.8627069131</v>
          </cell>
          <cell r="H103">
            <v>3044339.5968841286</v>
          </cell>
          <cell r="I103">
            <v>3642502.1256085685</v>
          </cell>
          <cell r="J103">
            <v>4146582.800389484</v>
          </cell>
          <cell r="K103">
            <v>4632257.3281402141</v>
          </cell>
          <cell r="L103">
            <v>5131361.4143362436</v>
          </cell>
          <cell r="M103">
            <v>5588442.3948620474</v>
          </cell>
          <cell r="N103">
            <v>6114289.5623401385</v>
          </cell>
          <cell r="O103">
            <v>6795114.3237812296</v>
          </cell>
          <cell r="P103">
            <v>7560046.1563031375</v>
          </cell>
          <cell r="T103">
            <v>100</v>
          </cell>
          <cell r="U103" t="str">
            <v>Total Deliveries</v>
          </cell>
          <cell r="X103">
            <v>857618.51314508275</v>
          </cell>
          <cell r="Y103">
            <v>1586666.4566699124</v>
          </cell>
          <cell r="Z103">
            <v>2384529.2521908469</v>
          </cell>
          <cell r="AA103">
            <v>3044231.3855890944</v>
          </cell>
          <cell r="AB103">
            <v>3607405.395326193</v>
          </cell>
          <cell r="AC103">
            <v>4078149.0029211296</v>
          </cell>
          <cell r="AD103">
            <v>4553694.048685492</v>
          </cell>
          <cell r="AE103">
            <v>5016294.7624148</v>
          </cell>
          <cell r="AF103">
            <v>5464717.7166504385</v>
          </cell>
          <cell r="AG103">
            <v>6003702.1392405061</v>
          </cell>
          <cell r="AH103">
            <v>6590184.4469328141</v>
          </cell>
          <cell r="AI103">
            <v>7388940.7215189878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- 2014 -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- 2013 -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176519</v>
          </cell>
          <cell r="F107">
            <v>347978</v>
          </cell>
          <cell r="G107">
            <v>484157</v>
          </cell>
          <cell r="H107">
            <v>603399</v>
          </cell>
          <cell r="I107">
            <v>690866</v>
          </cell>
          <cell r="J107">
            <v>764767</v>
          </cell>
          <cell r="K107">
            <v>833490</v>
          </cell>
          <cell r="L107">
            <v>892948</v>
          </cell>
          <cell r="M107">
            <v>957430</v>
          </cell>
          <cell r="N107">
            <v>1027093</v>
          </cell>
          <cell r="O107">
            <v>1125283</v>
          </cell>
          <cell r="P107">
            <v>1281619</v>
          </cell>
          <cell r="T107">
            <v>104</v>
          </cell>
          <cell r="U107" t="str">
            <v>Residential</v>
          </cell>
          <cell r="X107">
            <v>154538</v>
          </cell>
          <cell r="Y107">
            <v>299981</v>
          </cell>
          <cell r="Z107">
            <v>447216</v>
          </cell>
          <cell r="AA107">
            <v>575182</v>
          </cell>
          <cell r="AB107">
            <v>667314</v>
          </cell>
          <cell r="AC107">
            <v>743022</v>
          </cell>
          <cell r="AD107">
            <v>806447</v>
          </cell>
          <cell r="AE107">
            <v>868931</v>
          </cell>
          <cell r="AF107">
            <v>932221</v>
          </cell>
          <cell r="AG107">
            <v>1001875</v>
          </cell>
          <cell r="AH107">
            <v>1088206</v>
          </cell>
          <cell r="AI107">
            <v>1217858</v>
          </cell>
        </row>
        <row r="108">
          <cell r="A108">
            <v>105</v>
          </cell>
          <cell r="B108" t="str">
            <v>Commercial</v>
          </cell>
          <cell r="E108">
            <v>281864</v>
          </cell>
          <cell r="F108">
            <v>549210</v>
          </cell>
          <cell r="G108">
            <v>800154</v>
          </cell>
          <cell r="H108">
            <v>1034140</v>
          </cell>
          <cell r="I108">
            <v>1237414</v>
          </cell>
          <cell r="J108">
            <v>1421313</v>
          </cell>
          <cell r="K108">
            <v>1610576</v>
          </cell>
          <cell r="L108">
            <v>1773495</v>
          </cell>
          <cell r="M108">
            <v>1939673</v>
          </cell>
          <cell r="N108">
            <v>2123955</v>
          </cell>
          <cell r="O108">
            <v>2337813</v>
          </cell>
          <cell r="P108">
            <v>2596547</v>
          </cell>
          <cell r="T108">
            <v>105</v>
          </cell>
          <cell r="U108" t="str">
            <v>Commercial</v>
          </cell>
          <cell r="X108">
            <v>277493</v>
          </cell>
          <cell r="Y108">
            <v>550278</v>
          </cell>
          <cell r="Z108">
            <v>824185</v>
          </cell>
          <cell r="AA108">
            <v>1098233</v>
          </cell>
          <cell r="AB108">
            <v>1332948</v>
          </cell>
          <cell r="AC108">
            <v>1536752</v>
          </cell>
          <cell r="AD108">
            <v>1709454</v>
          </cell>
          <cell r="AE108">
            <v>1890137</v>
          </cell>
          <cell r="AF108">
            <v>2071004</v>
          </cell>
          <cell r="AG108">
            <v>2266194</v>
          </cell>
          <cell r="AH108">
            <v>2477454</v>
          </cell>
          <cell r="AI108">
            <v>2735855</v>
          </cell>
        </row>
        <row r="109">
          <cell r="A109">
            <v>106</v>
          </cell>
          <cell r="B109" t="str">
            <v xml:space="preserve">Industrial </v>
          </cell>
          <cell r="E109">
            <v>497197</v>
          </cell>
          <cell r="F109">
            <v>824364</v>
          </cell>
          <cell r="G109">
            <v>1137876</v>
          </cell>
          <cell r="H109">
            <v>1550634</v>
          </cell>
          <cell r="I109">
            <v>1878160</v>
          </cell>
          <cell r="J109">
            <v>2154799</v>
          </cell>
          <cell r="K109">
            <v>2422196</v>
          </cell>
          <cell r="L109">
            <v>2684743</v>
          </cell>
          <cell r="M109">
            <v>2939623</v>
          </cell>
          <cell r="N109">
            <v>3211947</v>
          </cell>
          <cell r="O109">
            <v>3527222</v>
          </cell>
          <cell r="P109">
            <v>3850797</v>
          </cell>
          <cell r="T109">
            <v>106</v>
          </cell>
          <cell r="U109" t="str">
            <v xml:space="preserve">Industrial </v>
          </cell>
          <cell r="X109">
            <v>463548</v>
          </cell>
          <cell r="Y109">
            <v>815695</v>
          </cell>
          <cell r="Z109">
            <v>1211589</v>
          </cell>
          <cell r="AA109">
            <v>1520840</v>
          </cell>
          <cell r="AB109">
            <v>1814038</v>
          </cell>
          <cell r="AC109">
            <v>2060972</v>
          </cell>
          <cell r="AD109">
            <v>2300100</v>
          </cell>
          <cell r="AE109">
            <v>2539041</v>
          </cell>
          <cell r="AF109">
            <v>2786936</v>
          </cell>
          <cell r="AG109">
            <v>3046762</v>
          </cell>
          <cell r="AH109">
            <v>3321965</v>
          </cell>
          <cell r="AI109">
            <v>3715713</v>
          </cell>
        </row>
        <row r="110">
          <cell r="A110">
            <v>107</v>
          </cell>
          <cell r="B110" t="str">
            <v>Other</v>
          </cell>
          <cell r="E110">
            <v>-18507</v>
          </cell>
          <cell r="F110">
            <v>-38742</v>
          </cell>
          <cell r="G110">
            <v>-30003</v>
          </cell>
          <cell r="H110">
            <v>-61941</v>
          </cell>
          <cell r="I110">
            <v>-65955</v>
          </cell>
          <cell r="J110">
            <v>-82753</v>
          </cell>
          <cell r="K110">
            <v>-109396</v>
          </cell>
          <cell r="L110">
            <v>-81790</v>
          </cell>
          <cell r="M110">
            <v>-97953</v>
          </cell>
          <cell r="N110">
            <v>-84229</v>
          </cell>
          <cell r="O110">
            <v>-12413</v>
          </cell>
          <cell r="P110">
            <v>34450</v>
          </cell>
          <cell r="T110">
            <v>107</v>
          </cell>
          <cell r="U110" t="str">
            <v>Other</v>
          </cell>
          <cell r="X110">
            <v>-14891</v>
          </cell>
          <cell r="Y110">
            <v>-36606</v>
          </cell>
          <cell r="Z110">
            <v>-34316</v>
          </cell>
          <cell r="AA110">
            <v>-68133</v>
          </cell>
          <cell r="AB110">
            <v>-109856</v>
          </cell>
          <cell r="AC110">
            <v>-152895</v>
          </cell>
          <cell r="AD110">
            <v>-139813</v>
          </cell>
          <cell r="AE110">
            <v>-146876</v>
          </cell>
          <cell r="AF110">
            <v>-178442</v>
          </cell>
          <cell r="AG110">
            <v>-149629</v>
          </cell>
          <cell r="AH110">
            <v>-120165</v>
          </cell>
          <cell r="AI110">
            <v>-81724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937073</v>
          </cell>
          <cell r="F111">
            <v>1682810</v>
          </cell>
          <cell r="G111">
            <v>2392184</v>
          </cell>
          <cell r="H111">
            <v>3126232</v>
          </cell>
          <cell r="I111">
            <v>3740485</v>
          </cell>
          <cell r="J111">
            <v>4258126</v>
          </cell>
          <cell r="K111">
            <v>4756866</v>
          </cell>
          <cell r="L111">
            <v>5269396</v>
          </cell>
          <cell r="M111">
            <v>5738773</v>
          </cell>
          <cell r="N111">
            <v>6278766</v>
          </cell>
          <cell r="O111">
            <v>6977905</v>
          </cell>
          <cell r="P111">
            <v>7763413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880688</v>
          </cell>
          <cell r="Y111">
            <v>1629348</v>
          </cell>
          <cell r="Z111">
            <v>2448674</v>
          </cell>
          <cell r="AA111">
            <v>3126122</v>
          </cell>
          <cell r="AB111">
            <v>3704444</v>
          </cell>
          <cell r="AC111">
            <v>4187851</v>
          </cell>
          <cell r="AD111">
            <v>4676188</v>
          </cell>
          <cell r="AE111">
            <v>5151233</v>
          </cell>
          <cell r="AF111">
            <v>5611719</v>
          </cell>
          <cell r="AG111">
            <v>6165202</v>
          </cell>
          <cell r="AH111">
            <v>6767460</v>
          </cell>
          <cell r="AI111">
            <v>7587702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</row>
        <row r="114">
          <cell r="A114">
            <v>111</v>
          </cell>
          <cell r="B114" t="str">
            <v xml:space="preserve">Customers </v>
          </cell>
          <cell r="E114">
            <v>55637</v>
          </cell>
          <cell r="F114">
            <v>55708</v>
          </cell>
          <cell r="G114">
            <v>55825</v>
          </cell>
          <cell r="H114">
            <v>55969</v>
          </cell>
          <cell r="I114">
            <v>55968</v>
          </cell>
          <cell r="J114">
            <v>56025</v>
          </cell>
          <cell r="K114">
            <v>56027</v>
          </cell>
          <cell r="L114">
            <v>56016</v>
          </cell>
          <cell r="M114">
            <v>55954</v>
          </cell>
          <cell r="N114">
            <v>55915</v>
          </cell>
          <cell r="O114">
            <v>55915</v>
          </cell>
          <cell r="P114">
            <v>55916</v>
          </cell>
          <cell r="T114">
            <v>111</v>
          </cell>
        </row>
        <row r="115">
          <cell r="A115">
            <v>112</v>
          </cell>
          <cell r="B115" t="str">
            <v>Volume (mcfs)</v>
          </cell>
          <cell r="E115">
            <v>892586</v>
          </cell>
          <cell r="F115">
            <v>1681071</v>
          </cell>
          <cell r="G115">
            <v>2523633</v>
          </cell>
          <cell r="H115">
            <v>3251259</v>
          </cell>
          <cell r="I115">
            <v>3908356</v>
          </cell>
          <cell r="J115">
            <v>4474105</v>
          </cell>
          <cell r="K115">
            <v>5012998</v>
          </cell>
          <cell r="L115">
            <v>5562217.8026011474</v>
          </cell>
          <cell r="M115">
            <v>6164159.8026011474</v>
          </cell>
          <cell r="N115">
            <v>6783049.8026011474</v>
          </cell>
          <cell r="O115">
            <v>7543691.8026011474</v>
          </cell>
          <cell r="P115">
            <v>8417969.8026011474</v>
          </cell>
          <cell r="T115">
            <v>112</v>
          </cell>
        </row>
        <row r="116">
          <cell r="A116">
            <v>113</v>
          </cell>
          <cell r="B116" t="str">
            <v>Volume (dts)</v>
          </cell>
          <cell r="E116">
            <v>916597</v>
          </cell>
          <cell r="F116">
            <v>1726292</v>
          </cell>
          <cell r="G116">
            <v>2591519</v>
          </cell>
          <cell r="H116">
            <v>3338718</v>
          </cell>
          <cell r="I116">
            <v>4013491</v>
          </cell>
          <cell r="J116">
            <v>4594459</v>
          </cell>
          <cell r="K116">
            <v>5147848</v>
          </cell>
          <cell r="L116">
            <v>5711842</v>
          </cell>
          <cell r="M116">
            <v>6329976</v>
          </cell>
          <cell r="N116">
            <v>6965514</v>
          </cell>
          <cell r="O116">
            <v>7746617</v>
          </cell>
          <cell r="P116">
            <v>8644413</v>
          </cell>
          <cell r="T116">
            <v>113</v>
          </cell>
        </row>
      </sheetData>
      <sheetData sheetId="17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23727</v>
          </cell>
          <cell r="F5">
            <v>23817</v>
          </cell>
          <cell r="G5">
            <v>23905</v>
          </cell>
          <cell r="H5">
            <v>23875</v>
          </cell>
          <cell r="I5">
            <v>23903</v>
          </cell>
          <cell r="J5">
            <v>23905</v>
          </cell>
          <cell r="K5">
            <v>23911</v>
          </cell>
          <cell r="L5">
            <v>23876</v>
          </cell>
          <cell r="M5">
            <v>23896</v>
          </cell>
          <cell r="N5">
            <v>23859</v>
          </cell>
          <cell r="O5">
            <v>23848</v>
          </cell>
          <cell r="P5">
            <v>23862</v>
          </cell>
          <cell r="T5">
            <v>2</v>
          </cell>
          <cell r="U5" t="str">
            <v>Residential</v>
          </cell>
          <cell r="X5">
            <v>23617</v>
          </cell>
          <cell r="Y5">
            <v>23638</v>
          </cell>
          <cell r="Z5">
            <v>23746</v>
          </cell>
          <cell r="AA5">
            <v>23829</v>
          </cell>
          <cell r="AB5">
            <v>23713</v>
          </cell>
          <cell r="AC5">
            <v>23962</v>
          </cell>
          <cell r="AD5">
            <v>23822</v>
          </cell>
          <cell r="AE5">
            <v>23740</v>
          </cell>
          <cell r="AF5">
            <v>23750</v>
          </cell>
          <cell r="AG5">
            <v>23713</v>
          </cell>
          <cell r="AH5">
            <v>23682</v>
          </cell>
          <cell r="AI5">
            <v>23695</v>
          </cell>
        </row>
        <row r="6">
          <cell r="E6">
            <v>7415</v>
          </cell>
          <cell r="F6">
            <v>7407</v>
          </cell>
          <cell r="G6">
            <v>7424</v>
          </cell>
          <cell r="H6">
            <v>7424</v>
          </cell>
          <cell r="I6">
            <v>7408</v>
          </cell>
          <cell r="J6">
            <v>7403</v>
          </cell>
          <cell r="K6">
            <v>7418</v>
          </cell>
          <cell r="L6">
            <v>7402</v>
          </cell>
          <cell r="M6">
            <v>7413</v>
          </cell>
          <cell r="N6">
            <v>7391</v>
          </cell>
          <cell r="O6">
            <v>7374</v>
          </cell>
          <cell r="P6">
            <v>7380</v>
          </cell>
          <cell r="T6">
            <v>3</v>
          </cell>
          <cell r="U6" t="str">
            <v>Commercial</v>
          </cell>
          <cell r="X6">
            <v>7392</v>
          </cell>
          <cell r="Y6">
            <v>7387</v>
          </cell>
          <cell r="Z6">
            <v>7393</v>
          </cell>
          <cell r="AA6">
            <v>7405</v>
          </cell>
          <cell r="AB6">
            <v>7409</v>
          </cell>
          <cell r="AC6">
            <v>7431</v>
          </cell>
          <cell r="AD6">
            <v>7418</v>
          </cell>
          <cell r="AE6">
            <v>7406</v>
          </cell>
          <cell r="AF6">
            <v>7419</v>
          </cell>
          <cell r="AG6">
            <v>7407</v>
          </cell>
          <cell r="AH6">
            <v>7403</v>
          </cell>
          <cell r="AI6">
            <v>7405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31144</v>
          </cell>
          <cell r="F9">
            <v>31226</v>
          </cell>
          <cell r="G9">
            <v>31331</v>
          </cell>
          <cell r="H9">
            <v>31301</v>
          </cell>
          <cell r="I9">
            <v>31313</v>
          </cell>
          <cell r="J9">
            <v>31310</v>
          </cell>
          <cell r="K9">
            <v>31331</v>
          </cell>
          <cell r="L9">
            <v>31280</v>
          </cell>
          <cell r="M9">
            <v>31311</v>
          </cell>
          <cell r="N9">
            <v>31252</v>
          </cell>
          <cell r="O9">
            <v>31224</v>
          </cell>
          <cell r="P9">
            <v>31244</v>
          </cell>
          <cell r="T9">
            <v>6</v>
          </cell>
          <cell r="U9" t="str">
            <v>Total customers</v>
          </cell>
          <cell r="X9">
            <v>31011</v>
          </cell>
          <cell r="Y9">
            <v>31027</v>
          </cell>
          <cell r="Z9">
            <v>31141</v>
          </cell>
          <cell r="AA9">
            <v>31236</v>
          </cell>
          <cell r="AB9">
            <v>31124</v>
          </cell>
          <cell r="AC9">
            <v>31395</v>
          </cell>
          <cell r="AD9">
            <v>31242</v>
          </cell>
          <cell r="AE9">
            <v>31148</v>
          </cell>
          <cell r="AF9">
            <v>31171</v>
          </cell>
          <cell r="AG9">
            <v>31122</v>
          </cell>
          <cell r="AH9">
            <v>31087</v>
          </cell>
          <cell r="AI9">
            <v>31102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- 2011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30645</v>
          </cell>
          <cell r="F12">
            <v>31219</v>
          </cell>
          <cell r="G12">
            <v>22626</v>
          </cell>
          <cell r="H12">
            <v>18590</v>
          </cell>
          <cell r="I12">
            <v>20085.392</v>
          </cell>
          <cell r="J12">
            <v>26424.817999999999</v>
          </cell>
          <cell r="K12">
            <v>32928.561999999998</v>
          </cell>
          <cell r="L12">
            <v>30949.967000000001</v>
          </cell>
          <cell r="M12">
            <v>31162.179</v>
          </cell>
          <cell r="N12">
            <v>21607.998</v>
          </cell>
          <cell r="O12">
            <v>19068.564999999999</v>
          </cell>
          <cell r="P12">
            <v>24910.794999999998</v>
          </cell>
          <cell r="T12">
            <v>9</v>
          </cell>
          <cell r="U12" t="str">
            <v>Residential</v>
          </cell>
          <cell r="X12">
            <v>24998</v>
          </cell>
          <cell r="Y12">
            <v>21652</v>
          </cell>
          <cell r="Z12">
            <v>23125</v>
          </cell>
          <cell r="AA12">
            <v>19649</v>
          </cell>
          <cell r="AB12">
            <v>20095</v>
          </cell>
          <cell r="AC12">
            <v>27112</v>
          </cell>
          <cell r="AD12">
            <v>30202</v>
          </cell>
          <cell r="AE12">
            <v>30781</v>
          </cell>
          <cell r="AF12">
            <v>29432</v>
          </cell>
          <cell r="AG12">
            <v>22969</v>
          </cell>
          <cell r="AH12">
            <v>17594</v>
          </cell>
          <cell r="AI12">
            <v>22136</v>
          </cell>
        </row>
        <row r="13">
          <cell r="E13">
            <v>25132</v>
          </cell>
          <cell r="F13">
            <v>24318</v>
          </cell>
          <cell r="G13">
            <v>22354</v>
          </cell>
          <cell r="H13">
            <v>21750</v>
          </cell>
          <cell r="I13">
            <v>24916.542000000001</v>
          </cell>
          <cell r="J13">
            <v>27951.972000000002</v>
          </cell>
          <cell r="K13">
            <v>31626.92</v>
          </cell>
          <cell r="L13">
            <v>29817.628000000001</v>
          </cell>
          <cell r="M13">
            <v>31010.788</v>
          </cell>
          <cell r="N13">
            <v>26437.859</v>
          </cell>
          <cell r="O13">
            <v>23776.083999999999</v>
          </cell>
          <cell r="P13">
            <v>23465.699000000001</v>
          </cell>
          <cell r="T13">
            <v>10</v>
          </cell>
          <cell r="U13" t="str">
            <v>Commercial</v>
          </cell>
          <cell r="X13">
            <v>23587</v>
          </cell>
          <cell r="Y13">
            <v>21235</v>
          </cell>
          <cell r="Z13">
            <v>22089</v>
          </cell>
          <cell r="AA13">
            <v>23108</v>
          </cell>
          <cell r="AB13">
            <v>26323</v>
          </cell>
          <cell r="AC13">
            <v>27782</v>
          </cell>
          <cell r="AD13">
            <v>30390</v>
          </cell>
          <cell r="AE13">
            <v>30567</v>
          </cell>
          <cell r="AF13">
            <v>30527</v>
          </cell>
          <cell r="AG13">
            <v>27557</v>
          </cell>
          <cell r="AH13">
            <v>23181</v>
          </cell>
          <cell r="AI13">
            <v>23467</v>
          </cell>
        </row>
        <row r="14">
          <cell r="E14">
            <v>1470</v>
          </cell>
          <cell r="F14">
            <v>3680</v>
          </cell>
          <cell r="G14">
            <v>4480</v>
          </cell>
          <cell r="H14">
            <v>1660</v>
          </cell>
          <cell r="I14">
            <v>4170</v>
          </cell>
          <cell r="J14">
            <v>1410</v>
          </cell>
          <cell r="K14">
            <v>5060</v>
          </cell>
          <cell r="L14">
            <v>900</v>
          </cell>
          <cell r="M14">
            <v>1130</v>
          </cell>
          <cell r="N14">
            <v>1440</v>
          </cell>
          <cell r="O14">
            <v>2520</v>
          </cell>
          <cell r="P14">
            <v>1170</v>
          </cell>
          <cell r="T14">
            <v>11</v>
          </cell>
          <cell r="U14" t="str">
            <v xml:space="preserve">Industrial </v>
          </cell>
          <cell r="X14">
            <v>2960</v>
          </cell>
          <cell r="Y14">
            <v>2500</v>
          </cell>
          <cell r="Z14">
            <v>5760</v>
          </cell>
          <cell r="AA14">
            <v>1620</v>
          </cell>
          <cell r="AB14">
            <v>2180</v>
          </cell>
          <cell r="AC14">
            <v>1760</v>
          </cell>
          <cell r="AD14">
            <v>2040</v>
          </cell>
          <cell r="AE14">
            <v>2340</v>
          </cell>
          <cell r="AF14">
            <v>2020</v>
          </cell>
          <cell r="AG14">
            <v>2780</v>
          </cell>
          <cell r="AH14">
            <v>3540</v>
          </cell>
          <cell r="AI14">
            <v>1620</v>
          </cell>
        </row>
        <row r="15">
          <cell r="E15">
            <v>0</v>
          </cell>
          <cell r="F15">
            <v>-10235</v>
          </cell>
          <cell r="G15">
            <v>-2132</v>
          </cell>
          <cell r="H15">
            <v>-2239</v>
          </cell>
          <cell r="I15">
            <v>3306.7919999999999</v>
          </cell>
          <cell r="J15">
            <v>5283.6229999999996</v>
          </cell>
          <cell r="K15">
            <v>738.75599999999997</v>
          </cell>
          <cell r="L15">
            <v>4481.0219999999999</v>
          </cell>
          <cell r="M15">
            <v>-3512.9340000000002</v>
          </cell>
          <cell r="N15">
            <v>-2157.9872</v>
          </cell>
          <cell r="O15">
            <v>-2852.4079999999999</v>
          </cell>
          <cell r="P15">
            <v>786.43399999999997</v>
          </cell>
          <cell r="T15">
            <v>12</v>
          </cell>
          <cell r="U15" t="str">
            <v>Other</v>
          </cell>
          <cell r="X15">
            <v>-264</v>
          </cell>
          <cell r="Y15">
            <v>120</v>
          </cell>
          <cell r="Z15">
            <v>2885</v>
          </cell>
          <cell r="AA15">
            <v>534</v>
          </cell>
          <cell r="AB15">
            <v>3392</v>
          </cell>
          <cell r="AC15">
            <v>4622</v>
          </cell>
          <cell r="AD15">
            <v>2369</v>
          </cell>
          <cell r="AE15">
            <v>3464</v>
          </cell>
          <cell r="AF15">
            <v>-3313</v>
          </cell>
          <cell r="AG15">
            <v>-344</v>
          </cell>
          <cell r="AH15">
            <v>2167</v>
          </cell>
          <cell r="AI15">
            <v>2715</v>
          </cell>
        </row>
        <row r="16">
          <cell r="E16">
            <v>57247</v>
          </cell>
          <cell r="F16">
            <v>48982</v>
          </cell>
          <cell r="G16">
            <v>47328</v>
          </cell>
          <cell r="H16">
            <v>39761</v>
          </cell>
          <cell r="I16">
            <v>52478.726000000002</v>
          </cell>
          <cell r="J16">
            <v>61070.413</v>
          </cell>
          <cell r="K16">
            <v>70354.237999999983</v>
          </cell>
          <cell r="L16">
            <v>66148.616999999998</v>
          </cell>
          <cell r="M16">
            <v>59790.033000000003</v>
          </cell>
          <cell r="N16">
            <v>47327.8698</v>
          </cell>
          <cell r="O16">
            <v>42512.240999999995</v>
          </cell>
          <cell r="P16">
            <v>50332.928</v>
          </cell>
          <cell r="T16">
            <v>13</v>
          </cell>
          <cell r="U16" t="str">
            <v>Total Deliveries</v>
          </cell>
          <cell r="X16">
            <v>51281</v>
          </cell>
          <cell r="Y16">
            <v>45507</v>
          </cell>
          <cell r="Z16">
            <v>53859</v>
          </cell>
          <cell r="AA16">
            <v>44911</v>
          </cell>
          <cell r="AB16">
            <v>51990</v>
          </cell>
          <cell r="AC16">
            <v>61276</v>
          </cell>
          <cell r="AD16">
            <v>65001</v>
          </cell>
          <cell r="AE16">
            <v>67152</v>
          </cell>
          <cell r="AF16">
            <v>58666</v>
          </cell>
          <cell r="AG16">
            <v>52962</v>
          </cell>
          <cell r="AH16">
            <v>46482</v>
          </cell>
          <cell r="AI16">
            <v>49938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</row>
        <row r="20">
          <cell r="E20">
            <v>30981</v>
          </cell>
          <cell r="F20">
            <v>30979</v>
          </cell>
          <cell r="G20">
            <v>31071</v>
          </cell>
          <cell r="H20">
            <v>31103</v>
          </cell>
          <cell r="I20">
            <v>31058</v>
          </cell>
          <cell r="J20">
            <v>31001</v>
          </cell>
          <cell r="K20">
            <v>31044</v>
          </cell>
          <cell r="L20">
            <v>30996</v>
          </cell>
          <cell r="M20">
            <v>31024</v>
          </cell>
          <cell r="N20">
            <v>31043</v>
          </cell>
          <cell r="O20">
            <v>31037</v>
          </cell>
          <cell r="P20">
            <v>31029</v>
          </cell>
          <cell r="T20">
            <v>17</v>
          </cell>
        </row>
        <row r="21">
          <cell r="E21">
            <v>56711</v>
          </cell>
          <cell r="F21">
            <v>45783</v>
          </cell>
          <cell r="G21">
            <v>50784</v>
          </cell>
          <cell r="H21">
            <v>50561</v>
          </cell>
          <cell r="I21">
            <v>58112.544000000002</v>
          </cell>
          <cell r="J21">
            <v>66550.301999999996</v>
          </cell>
          <cell r="K21">
            <v>71847.972999999998</v>
          </cell>
          <cell r="L21">
            <v>70609.928</v>
          </cell>
          <cell r="M21">
            <v>62480.319000000003</v>
          </cell>
          <cell r="N21">
            <v>51839.080999999998</v>
          </cell>
          <cell r="O21">
            <v>45675.885999999999</v>
          </cell>
          <cell r="P21">
            <v>56538.883999999998</v>
          </cell>
          <cell r="T21">
            <v>18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23727</v>
          </cell>
          <cell r="F27">
            <v>23772</v>
          </cell>
          <cell r="G27">
            <v>23816</v>
          </cell>
          <cell r="H27">
            <v>23831</v>
          </cell>
          <cell r="I27">
            <v>23845</v>
          </cell>
          <cell r="J27">
            <v>23855</v>
          </cell>
          <cell r="K27">
            <v>23863</v>
          </cell>
          <cell r="L27">
            <v>23865</v>
          </cell>
          <cell r="M27">
            <v>23868</v>
          </cell>
          <cell r="N27">
            <v>23867</v>
          </cell>
          <cell r="O27">
            <v>23866</v>
          </cell>
          <cell r="P27">
            <v>23865</v>
          </cell>
          <cell r="T27">
            <v>24</v>
          </cell>
          <cell r="U27" t="str">
            <v>Residential</v>
          </cell>
          <cell r="X27">
            <v>23617</v>
          </cell>
          <cell r="Y27">
            <v>23628</v>
          </cell>
          <cell r="Z27">
            <v>23667</v>
          </cell>
          <cell r="AA27">
            <v>23708</v>
          </cell>
          <cell r="AB27">
            <v>23709</v>
          </cell>
          <cell r="AC27">
            <v>23751</v>
          </cell>
          <cell r="AD27">
            <v>23761</v>
          </cell>
          <cell r="AE27">
            <v>23758</v>
          </cell>
          <cell r="AF27">
            <v>23757</v>
          </cell>
          <cell r="AG27">
            <v>23753</v>
          </cell>
          <cell r="AH27">
            <v>23747</v>
          </cell>
          <cell r="AI27">
            <v>23742</v>
          </cell>
        </row>
        <row r="28">
          <cell r="E28">
            <v>7415</v>
          </cell>
          <cell r="F28">
            <v>7411</v>
          </cell>
          <cell r="G28">
            <v>7415</v>
          </cell>
          <cell r="H28">
            <v>7418</v>
          </cell>
          <cell r="I28">
            <v>7416</v>
          </cell>
          <cell r="J28">
            <v>7414</v>
          </cell>
          <cell r="K28">
            <v>7414</v>
          </cell>
          <cell r="L28">
            <v>7413</v>
          </cell>
          <cell r="M28">
            <v>7413</v>
          </cell>
          <cell r="N28">
            <v>7411</v>
          </cell>
          <cell r="O28">
            <v>7407</v>
          </cell>
          <cell r="P28">
            <v>7405</v>
          </cell>
          <cell r="T28">
            <v>25</v>
          </cell>
          <cell r="U28" t="str">
            <v>Commercial</v>
          </cell>
          <cell r="X28">
            <v>7392</v>
          </cell>
          <cell r="Y28">
            <v>7390</v>
          </cell>
          <cell r="Z28">
            <v>7391</v>
          </cell>
          <cell r="AA28">
            <v>7394</v>
          </cell>
          <cell r="AB28">
            <v>7397</v>
          </cell>
          <cell r="AC28">
            <v>7403</v>
          </cell>
          <cell r="AD28">
            <v>7405</v>
          </cell>
          <cell r="AE28">
            <v>7405</v>
          </cell>
          <cell r="AF28">
            <v>7407</v>
          </cell>
          <cell r="AG28">
            <v>7407</v>
          </cell>
          <cell r="AH28">
            <v>7406</v>
          </cell>
          <cell r="AI28">
            <v>7406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T30">
            <v>27</v>
          </cell>
          <cell r="U30" t="str">
            <v>Other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E31">
            <v>31144</v>
          </cell>
          <cell r="F31">
            <v>31185</v>
          </cell>
          <cell r="G31">
            <v>31233</v>
          </cell>
          <cell r="H31">
            <v>31251</v>
          </cell>
          <cell r="I31">
            <v>31263</v>
          </cell>
          <cell r="J31">
            <v>31271</v>
          </cell>
          <cell r="K31">
            <v>31279</v>
          </cell>
          <cell r="L31">
            <v>31280</v>
          </cell>
          <cell r="M31">
            <v>31283</v>
          </cell>
          <cell r="N31">
            <v>31280</v>
          </cell>
          <cell r="O31">
            <v>31275</v>
          </cell>
          <cell r="P31">
            <v>31272</v>
          </cell>
          <cell r="T31">
            <v>28</v>
          </cell>
          <cell r="U31" t="str">
            <v>Total customers</v>
          </cell>
          <cell r="X31">
            <v>31011</v>
          </cell>
          <cell r="Y31">
            <v>31020</v>
          </cell>
          <cell r="Z31">
            <v>31060</v>
          </cell>
          <cell r="AA31">
            <v>31104</v>
          </cell>
          <cell r="AB31">
            <v>31108</v>
          </cell>
          <cell r="AC31">
            <v>31156</v>
          </cell>
          <cell r="AD31">
            <v>31168</v>
          </cell>
          <cell r="AE31">
            <v>31165</v>
          </cell>
          <cell r="AF31">
            <v>31166</v>
          </cell>
          <cell r="AG31">
            <v>31162</v>
          </cell>
          <cell r="AH31">
            <v>31155</v>
          </cell>
          <cell r="AI31">
            <v>31150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30645</v>
          </cell>
          <cell r="F35">
            <v>61864</v>
          </cell>
          <cell r="G35">
            <v>84490</v>
          </cell>
          <cell r="H35">
            <v>103080</v>
          </cell>
          <cell r="I35">
            <v>123165.39199999999</v>
          </cell>
          <cell r="J35">
            <v>149590.21</v>
          </cell>
          <cell r="K35">
            <v>182518.772</v>
          </cell>
          <cell r="L35">
            <v>213468.739</v>
          </cell>
          <cell r="M35">
            <v>244630.91800000001</v>
          </cell>
          <cell r="N35">
            <v>266238.91600000003</v>
          </cell>
          <cell r="O35">
            <v>285307.48100000003</v>
          </cell>
          <cell r="P35">
            <v>310218.27600000001</v>
          </cell>
          <cell r="T35">
            <v>32</v>
          </cell>
          <cell r="U35" t="str">
            <v>Residential</v>
          </cell>
          <cell r="X35">
            <v>24998</v>
          </cell>
          <cell r="Y35">
            <v>46650</v>
          </cell>
          <cell r="Z35">
            <v>69775</v>
          </cell>
          <cell r="AA35">
            <v>89424</v>
          </cell>
          <cell r="AB35">
            <v>109519</v>
          </cell>
          <cell r="AC35">
            <v>136631</v>
          </cell>
          <cell r="AD35">
            <v>166833</v>
          </cell>
          <cell r="AE35">
            <v>197614</v>
          </cell>
          <cell r="AF35">
            <v>227046</v>
          </cell>
          <cell r="AG35">
            <v>250015</v>
          </cell>
          <cell r="AH35">
            <v>267609</v>
          </cell>
          <cell r="AI35">
            <v>289745</v>
          </cell>
        </row>
        <row r="36">
          <cell r="E36">
            <v>25132</v>
          </cell>
          <cell r="F36">
            <v>49450</v>
          </cell>
          <cell r="G36">
            <v>71804</v>
          </cell>
          <cell r="H36">
            <v>93554</v>
          </cell>
          <cell r="I36">
            <v>118470.542</v>
          </cell>
          <cell r="J36">
            <v>146422.514</v>
          </cell>
          <cell r="K36">
            <v>178049.43400000001</v>
          </cell>
          <cell r="L36">
            <v>207867.06200000001</v>
          </cell>
          <cell r="M36">
            <v>238877.85</v>
          </cell>
          <cell r="N36">
            <v>265315.70900000003</v>
          </cell>
          <cell r="O36">
            <v>289091.79300000001</v>
          </cell>
          <cell r="P36">
            <v>312557.49200000003</v>
          </cell>
          <cell r="T36">
            <v>33</v>
          </cell>
          <cell r="U36" t="str">
            <v>Commercial</v>
          </cell>
          <cell r="X36">
            <v>23587</v>
          </cell>
          <cell r="Y36">
            <v>44822</v>
          </cell>
          <cell r="Z36">
            <v>66911</v>
          </cell>
          <cell r="AA36">
            <v>90019</v>
          </cell>
          <cell r="AB36">
            <v>116342</v>
          </cell>
          <cell r="AC36">
            <v>144124</v>
          </cell>
          <cell r="AD36">
            <v>174514</v>
          </cell>
          <cell r="AE36">
            <v>205081</v>
          </cell>
          <cell r="AF36">
            <v>235608</v>
          </cell>
          <cell r="AG36">
            <v>263165</v>
          </cell>
          <cell r="AH36">
            <v>286346</v>
          </cell>
          <cell r="AI36">
            <v>309813</v>
          </cell>
        </row>
        <row r="37">
          <cell r="E37">
            <v>1470</v>
          </cell>
          <cell r="F37">
            <v>5150</v>
          </cell>
          <cell r="G37">
            <v>9630</v>
          </cell>
          <cell r="H37">
            <v>11290</v>
          </cell>
          <cell r="I37">
            <v>15460</v>
          </cell>
          <cell r="J37">
            <v>16870</v>
          </cell>
          <cell r="K37">
            <v>21930</v>
          </cell>
          <cell r="L37">
            <v>22830</v>
          </cell>
          <cell r="M37">
            <v>23960</v>
          </cell>
          <cell r="N37">
            <v>25400</v>
          </cell>
          <cell r="O37">
            <v>27920</v>
          </cell>
          <cell r="P37">
            <v>29090</v>
          </cell>
          <cell r="T37">
            <v>34</v>
          </cell>
          <cell r="U37" t="str">
            <v xml:space="preserve">Industrial </v>
          </cell>
          <cell r="X37">
            <v>2960</v>
          </cell>
          <cell r="Y37">
            <v>5460</v>
          </cell>
          <cell r="Z37">
            <v>11220</v>
          </cell>
          <cell r="AA37">
            <v>12840</v>
          </cell>
          <cell r="AB37">
            <v>15020</v>
          </cell>
          <cell r="AC37">
            <v>16780</v>
          </cell>
          <cell r="AD37">
            <v>18820</v>
          </cell>
          <cell r="AE37">
            <v>21160</v>
          </cell>
          <cell r="AF37">
            <v>23180</v>
          </cell>
          <cell r="AG37">
            <v>25960</v>
          </cell>
          <cell r="AH37">
            <v>29500</v>
          </cell>
          <cell r="AI37">
            <v>31120</v>
          </cell>
        </row>
        <row r="38">
          <cell r="E38">
            <v>0</v>
          </cell>
          <cell r="F38">
            <v>-10235</v>
          </cell>
          <cell r="G38">
            <v>-12367</v>
          </cell>
          <cell r="H38">
            <v>-14606</v>
          </cell>
          <cell r="I38">
            <v>-11299.208000000001</v>
          </cell>
          <cell r="J38">
            <v>-6015.5850000000009</v>
          </cell>
          <cell r="K38">
            <v>-5276.8290000000006</v>
          </cell>
          <cell r="L38">
            <v>-795.8070000000007</v>
          </cell>
          <cell r="M38">
            <v>-4308.7410000000009</v>
          </cell>
          <cell r="N38">
            <v>-6466.7282000000014</v>
          </cell>
          <cell r="O38">
            <v>-9319.1362000000008</v>
          </cell>
          <cell r="P38">
            <v>-8532.7022000000015</v>
          </cell>
          <cell r="T38">
            <v>35</v>
          </cell>
          <cell r="U38" t="str">
            <v>Other</v>
          </cell>
          <cell r="X38">
            <v>-264</v>
          </cell>
          <cell r="Y38">
            <v>-144</v>
          </cell>
          <cell r="Z38">
            <v>2741</v>
          </cell>
          <cell r="AA38">
            <v>3275</v>
          </cell>
          <cell r="AB38">
            <v>6667</v>
          </cell>
          <cell r="AC38">
            <v>11289</v>
          </cell>
          <cell r="AD38">
            <v>13658</v>
          </cell>
          <cell r="AE38">
            <v>17122</v>
          </cell>
          <cell r="AF38">
            <v>13809</v>
          </cell>
          <cell r="AG38">
            <v>13465</v>
          </cell>
          <cell r="AH38">
            <v>15632</v>
          </cell>
          <cell r="AI38">
            <v>18347</v>
          </cell>
        </row>
        <row r="39">
          <cell r="E39">
            <v>57247</v>
          </cell>
          <cell r="F39">
            <v>106229</v>
          </cell>
          <cell r="G39">
            <v>153557</v>
          </cell>
          <cell r="H39">
            <v>193318</v>
          </cell>
          <cell r="I39">
            <v>245796.726</v>
          </cell>
          <cell r="J39">
            <v>306867.13899999997</v>
          </cell>
          <cell r="K39">
            <v>377221.37699999998</v>
          </cell>
          <cell r="L39">
            <v>443369.99399999995</v>
          </cell>
          <cell r="M39">
            <v>503160.02700000006</v>
          </cell>
          <cell r="N39">
            <v>550487.89679999999</v>
          </cell>
          <cell r="O39">
            <v>593000.13780000003</v>
          </cell>
          <cell r="P39">
            <v>643333.06579999998</v>
          </cell>
          <cell r="T39">
            <v>36</v>
          </cell>
          <cell r="U39" t="str">
            <v>Total Deliveries</v>
          </cell>
          <cell r="X39">
            <v>51281</v>
          </cell>
          <cell r="Y39">
            <v>96788</v>
          </cell>
          <cell r="Z39">
            <v>150647</v>
          </cell>
          <cell r="AA39">
            <v>195558</v>
          </cell>
          <cell r="AB39">
            <v>247548</v>
          </cell>
          <cell r="AC39">
            <v>308824</v>
          </cell>
          <cell r="AD39">
            <v>373825</v>
          </cell>
          <cell r="AE39">
            <v>440977</v>
          </cell>
          <cell r="AF39">
            <v>499643</v>
          </cell>
          <cell r="AG39">
            <v>552605</v>
          </cell>
          <cell r="AH39">
            <v>599087</v>
          </cell>
          <cell r="AI39">
            <v>649025</v>
          </cell>
        </row>
        <row r="40">
          <cell r="T40">
            <v>37</v>
          </cell>
        </row>
        <row r="41"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E42">
            <v>30981</v>
          </cell>
          <cell r="F42">
            <v>30980</v>
          </cell>
          <cell r="G42">
            <v>31010</v>
          </cell>
          <cell r="H42">
            <v>31034</v>
          </cell>
          <cell r="I42">
            <v>31038</v>
          </cell>
          <cell r="J42">
            <v>31032</v>
          </cell>
          <cell r="K42">
            <v>31034</v>
          </cell>
          <cell r="L42">
            <v>31029</v>
          </cell>
          <cell r="M42">
            <v>31029</v>
          </cell>
          <cell r="N42">
            <v>31030</v>
          </cell>
          <cell r="O42">
            <v>31031</v>
          </cell>
          <cell r="P42">
            <v>31031</v>
          </cell>
          <cell r="T42">
            <v>39</v>
          </cell>
        </row>
        <row r="43">
          <cell r="E43">
            <v>56711</v>
          </cell>
          <cell r="F43">
            <v>102494</v>
          </cell>
          <cell r="G43">
            <v>153278</v>
          </cell>
          <cell r="H43">
            <v>203839</v>
          </cell>
          <cell r="I43">
            <v>261951.54399999999</v>
          </cell>
          <cell r="J43">
            <v>328501.84600000002</v>
          </cell>
          <cell r="K43">
            <v>400349.81900000002</v>
          </cell>
          <cell r="L43">
            <v>470959.74700000003</v>
          </cell>
          <cell r="M43">
            <v>533440.06599999999</v>
          </cell>
          <cell r="N43">
            <v>585279.147</v>
          </cell>
          <cell r="O43">
            <v>630955.03300000005</v>
          </cell>
          <cell r="P43">
            <v>687493.91700000002</v>
          </cell>
          <cell r="T43">
            <v>40</v>
          </cell>
        </row>
        <row r="45">
          <cell r="G45" t="str">
            <v>Q1 2014</v>
          </cell>
          <cell r="J45" t="str">
            <v>Q2 2014</v>
          </cell>
          <cell r="M45" t="str">
            <v>Q3 2014</v>
          </cell>
          <cell r="P45" t="str">
            <v>Q4 2014</v>
          </cell>
        </row>
        <row r="46">
          <cell r="G46">
            <v>23816</v>
          </cell>
          <cell r="J46">
            <v>23894</v>
          </cell>
          <cell r="M46">
            <v>23894</v>
          </cell>
          <cell r="P46">
            <v>23856</v>
          </cell>
        </row>
        <row r="47">
          <cell r="G47">
            <v>7415</v>
          </cell>
          <cell r="J47">
            <v>7412</v>
          </cell>
          <cell r="M47">
            <v>7411</v>
          </cell>
          <cell r="P47">
            <v>7382</v>
          </cell>
        </row>
        <row r="48">
          <cell r="G48">
            <v>2</v>
          </cell>
          <cell r="J48">
            <v>2</v>
          </cell>
          <cell r="M48">
            <v>2</v>
          </cell>
          <cell r="P48">
            <v>2</v>
          </cell>
        </row>
        <row r="49">
          <cell r="G49">
            <v>0</v>
          </cell>
          <cell r="J49">
            <v>0</v>
          </cell>
          <cell r="M49">
            <v>0</v>
          </cell>
          <cell r="P49">
            <v>0</v>
          </cell>
        </row>
        <row r="50">
          <cell r="G50">
            <v>31233</v>
          </cell>
          <cell r="J50">
            <v>31308</v>
          </cell>
          <cell r="M50">
            <v>31307</v>
          </cell>
          <cell r="P50">
            <v>31240</v>
          </cell>
        </row>
        <row r="53">
          <cell r="G53">
            <v>84490</v>
          </cell>
          <cell r="J53">
            <v>65100</v>
          </cell>
          <cell r="M53">
            <v>95041</v>
          </cell>
          <cell r="P53">
            <v>65587</v>
          </cell>
        </row>
        <row r="54">
          <cell r="G54">
            <v>71804</v>
          </cell>
          <cell r="J54">
            <v>74619</v>
          </cell>
          <cell r="M54">
            <v>92455</v>
          </cell>
          <cell r="P54">
            <v>73680</v>
          </cell>
        </row>
        <row r="55">
          <cell r="G55">
            <v>9630</v>
          </cell>
          <cell r="J55">
            <v>7240</v>
          </cell>
          <cell r="M55">
            <v>7090</v>
          </cell>
          <cell r="P55">
            <v>5130</v>
          </cell>
        </row>
        <row r="56">
          <cell r="G56">
            <v>-12367</v>
          </cell>
          <cell r="J56">
            <v>6351</v>
          </cell>
          <cell r="M56">
            <v>1707</v>
          </cell>
          <cell r="P56">
            <v>-4224</v>
          </cell>
        </row>
        <row r="57">
          <cell r="G57">
            <v>153557</v>
          </cell>
          <cell r="J57">
            <v>153310</v>
          </cell>
          <cell r="M57">
            <v>196293</v>
          </cell>
          <cell r="P57">
            <v>140173</v>
          </cell>
        </row>
      </sheetData>
      <sheetData sheetId="18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19</v>
          </cell>
          <cell r="D7">
            <v>222</v>
          </cell>
          <cell r="E7">
            <v>20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18</v>
          </cell>
          <cell r="K7">
            <v>19</v>
          </cell>
          <cell r="L7">
            <v>17</v>
          </cell>
          <cell r="M7">
            <v>18</v>
          </cell>
          <cell r="N7">
            <v>18</v>
          </cell>
          <cell r="O7">
            <v>19</v>
          </cell>
          <cell r="P7">
            <v>19</v>
          </cell>
          <cell r="T7">
            <v>4</v>
          </cell>
          <cell r="U7" t="str">
            <v>Interruptible transporation</v>
          </cell>
          <cell r="V7">
            <v>18</v>
          </cell>
          <cell r="W7">
            <v>219</v>
          </cell>
          <cell r="X7">
            <v>18</v>
          </cell>
          <cell r="Y7">
            <v>19</v>
          </cell>
          <cell r="Z7">
            <v>17</v>
          </cell>
          <cell r="AA7">
            <v>16</v>
          </cell>
          <cell r="AB7">
            <v>15</v>
          </cell>
          <cell r="AC7">
            <v>19</v>
          </cell>
          <cell r="AD7">
            <v>19</v>
          </cell>
          <cell r="AE7">
            <v>19</v>
          </cell>
          <cell r="AF7">
            <v>20</v>
          </cell>
          <cell r="AG7">
            <v>18</v>
          </cell>
          <cell r="AH7">
            <v>19</v>
          </cell>
          <cell r="AI7">
            <v>20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 and MD</v>
          </cell>
          <cell r="V8">
            <v>-2</v>
          </cell>
          <cell r="W8">
            <v>-24</v>
          </cell>
          <cell r="X8">
            <v>-2</v>
          </cell>
          <cell r="Y8">
            <v>-2</v>
          </cell>
          <cell r="Z8">
            <v>-2</v>
          </cell>
          <cell r="AA8">
            <v>-2</v>
          </cell>
          <cell r="AB8">
            <v>-2</v>
          </cell>
          <cell r="AC8">
            <v>-2</v>
          </cell>
          <cell r="AD8">
            <v>-2</v>
          </cell>
          <cell r="AE8">
            <v>-2</v>
          </cell>
          <cell r="AF8">
            <v>-2</v>
          </cell>
          <cell r="AG8">
            <v>-2</v>
          </cell>
          <cell r="AH8">
            <v>-2</v>
          </cell>
          <cell r="AI8">
            <v>-2</v>
          </cell>
        </row>
        <row r="9">
          <cell r="A9">
            <v>6</v>
          </cell>
          <cell r="B9" t="str">
            <v>Total customers</v>
          </cell>
          <cell r="C9">
            <v>16</v>
          </cell>
          <cell r="D9">
            <v>186</v>
          </cell>
          <cell r="E9">
            <v>17</v>
          </cell>
          <cell r="F9">
            <v>16</v>
          </cell>
          <cell r="G9">
            <v>16</v>
          </cell>
          <cell r="H9">
            <v>15</v>
          </cell>
          <cell r="I9">
            <v>15</v>
          </cell>
          <cell r="J9">
            <v>15</v>
          </cell>
          <cell r="K9">
            <v>16</v>
          </cell>
          <cell r="L9">
            <v>14</v>
          </cell>
          <cell r="M9">
            <v>15</v>
          </cell>
          <cell r="N9">
            <v>15</v>
          </cell>
          <cell r="O9">
            <v>16</v>
          </cell>
          <cell r="P9">
            <v>16</v>
          </cell>
          <cell r="T9">
            <v>6</v>
          </cell>
          <cell r="U9" t="str">
            <v>Total customers</v>
          </cell>
          <cell r="V9">
            <v>16</v>
          </cell>
          <cell r="W9">
            <v>195</v>
          </cell>
          <cell r="X9">
            <v>16</v>
          </cell>
          <cell r="Y9">
            <v>17</v>
          </cell>
          <cell r="Z9">
            <v>15</v>
          </cell>
          <cell r="AA9">
            <v>14</v>
          </cell>
          <cell r="AB9">
            <v>13</v>
          </cell>
          <cell r="AC9">
            <v>17</v>
          </cell>
          <cell r="AD9">
            <v>17</v>
          </cell>
          <cell r="AE9">
            <v>17</v>
          </cell>
          <cell r="AF9">
            <v>18</v>
          </cell>
          <cell r="AG9">
            <v>16</v>
          </cell>
          <cell r="AH9">
            <v>17</v>
          </cell>
          <cell r="AI9">
            <v>18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(2014)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- 2013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43117402</v>
          </cell>
          <cell r="E14">
            <v>4954250</v>
          </cell>
          <cell r="F14">
            <v>4581853</v>
          </cell>
          <cell r="G14">
            <v>4658908</v>
          </cell>
          <cell r="H14">
            <v>3021093</v>
          </cell>
          <cell r="I14">
            <v>2907086</v>
          </cell>
          <cell r="J14">
            <v>2503246</v>
          </cell>
          <cell r="K14">
            <v>2891759</v>
          </cell>
          <cell r="L14">
            <v>2926590</v>
          </cell>
          <cell r="M14">
            <v>3063597</v>
          </cell>
          <cell r="N14">
            <v>3193707</v>
          </cell>
          <cell r="O14">
            <v>3993467</v>
          </cell>
          <cell r="P14">
            <v>4421846</v>
          </cell>
          <cell r="T14">
            <v>11</v>
          </cell>
          <cell r="U14" t="str">
            <v>Transportation firm</v>
          </cell>
          <cell r="X14">
            <v>3280771</v>
          </cell>
          <cell r="Y14">
            <v>3209628</v>
          </cell>
          <cell r="Z14">
            <v>3247157</v>
          </cell>
          <cell r="AA14">
            <v>2319816</v>
          </cell>
          <cell r="AB14">
            <v>2391385</v>
          </cell>
          <cell r="AC14">
            <v>2323355</v>
          </cell>
          <cell r="AD14">
            <v>2408032</v>
          </cell>
          <cell r="AE14">
            <v>2269358</v>
          </cell>
          <cell r="AF14">
            <v>2104628</v>
          </cell>
          <cell r="AG14">
            <v>2434378</v>
          </cell>
          <cell r="AH14">
            <v>3051196</v>
          </cell>
          <cell r="AI14">
            <v>3432405</v>
          </cell>
        </row>
        <row r="15">
          <cell r="A15">
            <v>12</v>
          </cell>
          <cell r="B15" t="str">
            <v>Interruptible transportation</v>
          </cell>
          <cell r="D15">
            <v>1599941</v>
          </cell>
          <cell r="E15">
            <v>174991</v>
          </cell>
          <cell r="F15">
            <v>98755</v>
          </cell>
          <cell r="G15">
            <v>164102</v>
          </cell>
          <cell r="H15">
            <v>50935</v>
          </cell>
          <cell r="I15">
            <v>74103</v>
          </cell>
          <cell r="J15">
            <v>126531</v>
          </cell>
          <cell r="K15">
            <v>198504</v>
          </cell>
          <cell r="L15">
            <v>111294</v>
          </cell>
          <cell r="M15">
            <v>129103</v>
          </cell>
          <cell r="N15">
            <v>118607</v>
          </cell>
          <cell r="O15">
            <v>224633</v>
          </cell>
          <cell r="P15">
            <v>128383</v>
          </cell>
          <cell r="T15">
            <v>12</v>
          </cell>
          <cell r="U15" t="str">
            <v>Interruptible transporation</v>
          </cell>
          <cell r="X15">
            <v>656263</v>
          </cell>
          <cell r="Y15">
            <v>521353</v>
          </cell>
          <cell r="Z15">
            <v>335066</v>
          </cell>
          <cell r="AA15">
            <v>261423</v>
          </cell>
          <cell r="AB15">
            <v>237863</v>
          </cell>
          <cell r="AC15">
            <v>213035</v>
          </cell>
          <cell r="AD15">
            <v>262156</v>
          </cell>
          <cell r="AE15">
            <v>154675</v>
          </cell>
          <cell r="AF15">
            <v>77701</v>
          </cell>
          <cell r="AG15">
            <v>128312</v>
          </cell>
          <cell r="AH15">
            <v>257740</v>
          </cell>
          <cell r="AI15">
            <v>162436</v>
          </cell>
        </row>
        <row r="16">
          <cell r="A16">
            <v>13</v>
          </cell>
          <cell r="B16" t="str">
            <v>Less: ESNG to DE, MD &amp; SP</v>
          </cell>
          <cell r="D16">
            <v>-11053974</v>
          </cell>
          <cell r="E16">
            <v>-1760470</v>
          </cell>
          <cell r="F16">
            <v>-1489044</v>
          </cell>
          <cell r="G16">
            <v>-1384042</v>
          </cell>
          <cell r="H16">
            <v>-784703</v>
          </cell>
          <cell r="I16">
            <v>-536394</v>
          </cell>
          <cell r="J16">
            <v>-479780</v>
          </cell>
          <cell r="K16">
            <v>-454073</v>
          </cell>
          <cell r="L16">
            <v>-474969</v>
          </cell>
          <cell r="M16">
            <v>-556432</v>
          </cell>
          <cell r="N16">
            <v>-681739</v>
          </cell>
          <cell r="O16">
            <v>-1104408</v>
          </cell>
          <cell r="P16">
            <v>-1347920</v>
          </cell>
          <cell r="T16">
            <v>13</v>
          </cell>
          <cell r="U16" t="str">
            <v>Less: ESNG to DE and MD</v>
          </cell>
          <cell r="X16">
            <v>-1460850</v>
          </cell>
          <cell r="Y16">
            <v>-1377772</v>
          </cell>
          <cell r="Z16">
            <v>-1318663</v>
          </cell>
          <cell r="AA16">
            <v>-729672</v>
          </cell>
          <cell r="AB16">
            <v>-521758</v>
          </cell>
          <cell r="AC16">
            <v>-429767</v>
          </cell>
          <cell r="AD16">
            <v>-432611</v>
          </cell>
          <cell r="AE16">
            <v>-462691</v>
          </cell>
          <cell r="AF16">
            <v>-547410</v>
          </cell>
          <cell r="AG16">
            <v>-652693</v>
          </cell>
          <cell r="AH16">
            <v>-1037577</v>
          </cell>
          <cell r="AI16">
            <v>-1286620</v>
          </cell>
        </row>
        <row r="17">
          <cell r="A17">
            <v>14</v>
          </cell>
          <cell r="B17" t="str">
            <v>Total Deliveries</v>
          </cell>
          <cell r="D17">
            <v>33663369</v>
          </cell>
          <cell r="E17">
            <v>3368771</v>
          </cell>
          <cell r="F17">
            <v>3191564</v>
          </cell>
          <cell r="G17">
            <v>3438968</v>
          </cell>
          <cell r="H17">
            <v>2287325</v>
          </cell>
          <cell r="I17">
            <v>2444795</v>
          </cell>
          <cell r="J17">
            <v>2149997</v>
          </cell>
          <cell r="K17">
            <v>2636190</v>
          </cell>
          <cell r="L17">
            <v>2562915</v>
          </cell>
          <cell r="M17">
            <v>2636268</v>
          </cell>
          <cell r="N17">
            <v>2630575</v>
          </cell>
          <cell r="O17">
            <v>3113692</v>
          </cell>
          <cell r="P17">
            <v>3202309</v>
          </cell>
          <cell r="T17">
            <v>14</v>
          </cell>
          <cell r="U17" t="str">
            <v>Total Deliveries</v>
          </cell>
          <cell r="X17">
            <v>2476184</v>
          </cell>
          <cell r="Y17">
            <v>2353209</v>
          </cell>
          <cell r="Z17">
            <v>2263560</v>
          </cell>
          <cell r="AA17">
            <v>1851567</v>
          </cell>
          <cell r="AB17">
            <v>2107490</v>
          </cell>
          <cell r="AC17">
            <v>2106623</v>
          </cell>
          <cell r="AD17">
            <v>2237577</v>
          </cell>
          <cell r="AE17">
            <v>1961342</v>
          </cell>
          <cell r="AF17">
            <v>1634919</v>
          </cell>
          <cell r="AG17">
            <v>1909997</v>
          </cell>
          <cell r="AH17">
            <v>2271359</v>
          </cell>
          <cell r="AI17">
            <v>2308221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1.0648500000000001</v>
          </cell>
          <cell r="F20">
            <v>1.05365</v>
          </cell>
          <cell r="G20">
            <v>1.05331</v>
          </cell>
          <cell r="H20">
            <v>1.0564499999999999</v>
          </cell>
          <cell r="I20">
            <v>1.05789</v>
          </cell>
          <cell r="J20">
            <v>1.05959</v>
          </cell>
          <cell r="K20">
            <v>1.0670500000000001</v>
          </cell>
          <cell r="L20">
            <v>1.0666</v>
          </cell>
          <cell r="M20">
            <v>1.0642199999999999</v>
          </cell>
          <cell r="N20">
            <v>1.0648599999999999</v>
          </cell>
          <cell r="O20">
            <v>1.06724</v>
          </cell>
          <cell r="P20">
            <v>1.06707</v>
          </cell>
          <cell r="T20">
            <v>17</v>
          </cell>
          <cell r="X20">
            <v>1.0380400000000001</v>
          </cell>
          <cell r="Y20">
            <v>1.0367999999999999</v>
          </cell>
          <cell r="Z20">
            <v>1.0362800000000001</v>
          </cell>
          <cell r="AA20">
            <v>1.02982</v>
          </cell>
          <cell r="AB20">
            <v>1.03478</v>
          </cell>
          <cell r="AC20">
            <v>1.0458799999999999</v>
          </cell>
          <cell r="AD20">
            <v>1.0603199999999999</v>
          </cell>
          <cell r="AE20">
            <v>1.06446</v>
          </cell>
          <cell r="AF20">
            <v>1.07433</v>
          </cell>
          <cell r="AG20">
            <v>1.0718000000000001</v>
          </cell>
          <cell r="AH20">
            <v>1.0764800000000001</v>
          </cell>
          <cell r="AI20">
            <v>1.0692900000000001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45778652.940290004</v>
          </cell>
          <cell r="E22">
            <v>5275533</v>
          </cell>
          <cell r="F22">
            <v>4827669</v>
          </cell>
          <cell r="G22">
            <v>4907274</v>
          </cell>
          <cell r="H22">
            <v>3191634</v>
          </cell>
          <cell r="I22">
            <v>3075377.20854</v>
          </cell>
          <cell r="J22">
            <v>2652414.4291400001</v>
          </cell>
          <cell r="K22">
            <v>3085651.4409500002</v>
          </cell>
          <cell r="L22">
            <v>3121500.8939999999</v>
          </cell>
          <cell r="M22">
            <v>3260341.1993399998</v>
          </cell>
          <cell r="N22">
            <v>3400850.8360199998</v>
          </cell>
          <cell r="O22">
            <v>4261987.7210799996</v>
          </cell>
          <cell r="P22">
            <v>4718419.2112199999</v>
          </cell>
          <cell r="T22">
            <v>19</v>
          </cell>
          <cell r="U22" t="str">
            <v>Transportation firm</v>
          </cell>
          <cell r="X22">
            <v>3405571.5288400003</v>
          </cell>
          <cell r="Y22">
            <v>3327742.3103999998</v>
          </cell>
          <cell r="Z22">
            <v>3364963.8559600003</v>
          </cell>
          <cell r="AA22">
            <v>2388992.9131199997</v>
          </cell>
          <cell r="AB22">
            <v>2474557.3703000001</v>
          </cell>
          <cell r="AC22">
            <v>2429950.5274</v>
          </cell>
          <cell r="AD22">
            <v>2553284.4902399997</v>
          </cell>
          <cell r="AE22">
            <v>2415640.8166799997</v>
          </cell>
          <cell r="AF22">
            <v>2261064.9992399998</v>
          </cell>
          <cell r="AG22">
            <v>2609166.3404000001</v>
          </cell>
          <cell r="AH22">
            <v>3284551.4700800003</v>
          </cell>
          <cell r="AI22">
            <v>3670236.3424500003</v>
          </cell>
        </row>
        <row r="23">
          <cell r="A23">
            <v>20</v>
          </cell>
          <cell r="B23" t="str">
            <v>Interruptible transportation</v>
          </cell>
          <cell r="D23">
            <v>1700460.4939700002</v>
          </cell>
          <cell r="E23">
            <v>186339</v>
          </cell>
          <cell r="F23">
            <v>104053</v>
          </cell>
          <cell r="G23">
            <v>172850</v>
          </cell>
          <cell r="H23">
            <v>53810</v>
          </cell>
          <cell r="I23">
            <v>78392.822669999994</v>
          </cell>
          <cell r="J23">
            <v>134070.98229000001</v>
          </cell>
          <cell r="K23">
            <v>211813.69320000001</v>
          </cell>
          <cell r="L23">
            <v>118706.1804</v>
          </cell>
          <cell r="M23">
            <v>137393.99466</v>
          </cell>
          <cell r="N23">
            <v>126299.85001999998</v>
          </cell>
          <cell r="O23">
            <v>239737.32292000001</v>
          </cell>
          <cell r="P23">
            <v>136993.64780999999</v>
          </cell>
          <cell r="T23">
            <v>20</v>
          </cell>
          <cell r="U23" t="str">
            <v>Interruptible transportation</v>
          </cell>
          <cell r="X23">
            <v>681227.24452000007</v>
          </cell>
          <cell r="Y23">
            <v>540538.79039999994</v>
          </cell>
          <cell r="Z23">
            <v>347222.19448000001</v>
          </cell>
          <cell r="AA23">
            <v>269218.63386</v>
          </cell>
          <cell r="AB23">
            <v>246135.87514000002</v>
          </cell>
          <cell r="AC23">
            <v>222809.04579999999</v>
          </cell>
          <cell r="AD23">
            <v>277969.24991999997</v>
          </cell>
          <cell r="AE23">
            <v>164645.3505</v>
          </cell>
          <cell r="AF23">
            <v>83476.515329999995</v>
          </cell>
          <cell r="AG23">
            <v>137524.80160000001</v>
          </cell>
          <cell r="AH23">
            <v>277451.95520000003</v>
          </cell>
          <cell r="AI23">
            <v>173691.19044000001</v>
          </cell>
        </row>
        <row r="24">
          <cell r="A24">
            <v>21</v>
          </cell>
          <cell r="B24" t="str">
            <v>Less: ESNG to DE, MD &amp; SP</v>
          </cell>
          <cell r="D24">
            <v>-11732443.511810001</v>
          </cell>
          <cell r="E24">
            <v>-1874636</v>
          </cell>
          <cell r="F24">
            <v>-1568931</v>
          </cell>
          <cell r="G24">
            <v>-1457825</v>
          </cell>
          <cell r="H24">
            <v>-828999</v>
          </cell>
          <cell r="I24">
            <v>-567445.84866000002</v>
          </cell>
          <cell r="J24">
            <v>-508370.09020000004</v>
          </cell>
          <cell r="K24">
            <v>-484518.59465000004</v>
          </cell>
          <cell r="L24">
            <v>-506601.93540000002</v>
          </cell>
          <cell r="M24">
            <v>-592166.06303999992</v>
          </cell>
          <cell r="N24">
            <v>-725956.59153999994</v>
          </cell>
          <cell r="O24">
            <v>-1178668.3939199999</v>
          </cell>
          <cell r="P24">
            <v>-1438324.9944</v>
          </cell>
          <cell r="T24">
            <v>21</v>
          </cell>
          <cell r="U24" t="str">
            <v>Less: ESNG to DE and MD</v>
          </cell>
          <cell r="X24">
            <v>-1516420.7340000002</v>
          </cell>
          <cell r="Y24">
            <v>-1428474.0096</v>
          </cell>
          <cell r="Z24">
            <v>-1366504.0936400001</v>
          </cell>
          <cell r="AA24">
            <v>-751430.81903999997</v>
          </cell>
          <cell r="AB24">
            <v>-539904.74323999998</v>
          </cell>
          <cell r="AC24">
            <v>-449484.70995999995</v>
          </cell>
          <cell r="AD24">
            <v>-458706.09551999997</v>
          </cell>
          <cell r="AE24">
            <v>-492516.06185999996</v>
          </cell>
          <cell r="AF24">
            <v>-588098.98530000006</v>
          </cell>
          <cell r="AG24">
            <v>-699556.3574000001</v>
          </cell>
          <cell r="AH24">
            <v>-1116930.8889600001</v>
          </cell>
          <cell r="AI24">
            <v>-1375769.8998</v>
          </cell>
        </row>
        <row r="25">
          <cell r="A25">
            <v>22</v>
          </cell>
          <cell r="B25" t="str">
            <v>Total Deliveries</v>
          </cell>
          <cell r="D25">
            <v>0</v>
          </cell>
          <cell r="E25">
            <v>3587236</v>
          </cell>
          <cell r="F25">
            <v>3362791</v>
          </cell>
          <cell r="G25">
            <v>3622299</v>
          </cell>
          <cell r="H25">
            <v>2416445</v>
          </cell>
          <cell r="I25">
            <v>2586324.18255</v>
          </cell>
          <cell r="J25">
            <v>2278115.3212300004</v>
          </cell>
          <cell r="K25">
            <v>2812946.5395000004</v>
          </cell>
          <cell r="L25">
            <v>2733605.139</v>
          </cell>
          <cell r="M25">
            <v>2805569.1309599997</v>
          </cell>
          <cell r="N25">
            <v>2801194.0944999997</v>
          </cell>
          <cell r="O25">
            <v>3323056.6500800001</v>
          </cell>
          <cell r="P25">
            <v>3417087.8646299997</v>
          </cell>
          <cell r="T25">
            <v>22</v>
          </cell>
          <cell r="U25" t="str">
            <v>Total Deliveries</v>
          </cell>
          <cell r="X25">
            <v>2570378.0393600003</v>
          </cell>
          <cell r="Y25">
            <v>2439807.0911999997</v>
          </cell>
          <cell r="Z25">
            <v>2345681.9568000003</v>
          </cell>
          <cell r="AA25">
            <v>1906780.7279399997</v>
          </cell>
          <cell r="AB25">
            <v>2180788.5022</v>
          </cell>
          <cell r="AC25">
            <v>2203274.8632399999</v>
          </cell>
          <cell r="AD25">
            <v>2372547.6446399996</v>
          </cell>
          <cell r="AE25">
            <v>2087770.1053199999</v>
          </cell>
          <cell r="AF25">
            <v>1756442.5292699996</v>
          </cell>
          <cell r="AG25">
            <v>2047134.7845999999</v>
          </cell>
          <cell r="AH25">
            <v>2445072.5363200004</v>
          </cell>
          <cell r="AI25">
            <v>2468157.6330900006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40003791</v>
          </cell>
          <cell r="E29">
            <v>4039029</v>
          </cell>
          <cell r="F29">
            <v>3735400</v>
          </cell>
          <cell r="G29">
            <v>3945114</v>
          </cell>
          <cell r="H29">
            <v>2938504</v>
          </cell>
          <cell r="I29">
            <v>2796136</v>
          </cell>
          <cell r="J29">
            <v>2727935</v>
          </cell>
          <cell r="K29">
            <v>3617728</v>
          </cell>
          <cell r="L29">
            <v>3774630</v>
          </cell>
          <cell r="M29">
            <v>3463998</v>
          </cell>
          <cell r="N29">
            <v>3522940</v>
          </cell>
          <cell r="O29">
            <v>2876501</v>
          </cell>
          <cell r="P29">
            <v>2565876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-11634338</v>
          </cell>
          <cell r="E30">
            <v>-1478879</v>
          </cell>
          <cell r="F30">
            <v>-1258763</v>
          </cell>
          <cell r="G30">
            <v>-1333208</v>
          </cell>
          <cell r="H30">
            <v>-716995</v>
          </cell>
          <cell r="I30">
            <v>-533932</v>
          </cell>
          <cell r="J30">
            <v>-435492</v>
          </cell>
          <cell r="K30">
            <v>-990152</v>
          </cell>
          <cell r="L30">
            <v>-1249823</v>
          </cell>
          <cell r="M30">
            <v>-1140081</v>
          </cell>
          <cell r="N30">
            <v>-1148699</v>
          </cell>
          <cell r="O30">
            <v>-716995</v>
          </cell>
          <cell r="P30">
            <v>-631319</v>
          </cell>
          <cell r="T30">
            <v>27</v>
          </cell>
        </row>
        <row r="31">
          <cell r="A31">
            <v>28</v>
          </cell>
          <cell r="D31">
            <v>28369453</v>
          </cell>
          <cell r="E31">
            <v>2560150</v>
          </cell>
          <cell r="F31">
            <v>2476637</v>
          </cell>
          <cell r="G31">
            <v>2611906</v>
          </cell>
          <cell r="H31">
            <v>2221509</v>
          </cell>
          <cell r="I31">
            <v>2262204</v>
          </cell>
          <cell r="J31">
            <v>2292443</v>
          </cell>
          <cell r="K31">
            <v>2627576</v>
          </cell>
          <cell r="L31">
            <v>2524807</v>
          </cell>
          <cell r="M31">
            <v>2323917</v>
          </cell>
          <cell r="N31">
            <v>2374241</v>
          </cell>
          <cell r="O31">
            <v>2159506</v>
          </cell>
          <cell r="P31">
            <v>1934557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41403923.684999995</v>
          </cell>
          <cell r="E33">
            <v>4180395.0149999997</v>
          </cell>
          <cell r="F33">
            <v>3866138.9999999995</v>
          </cell>
          <cell r="G33">
            <v>4083192.9899999998</v>
          </cell>
          <cell r="H33">
            <v>3041351.6399999997</v>
          </cell>
          <cell r="I33">
            <v>2894000.76</v>
          </cell>
          <cell r="J33">
            <v>2823412.7249999996</v>
          </cell>
          <cell r="K33">
            <v>3744348.4799999995</v>
          </cell>
          <cell r="L33">
            <v>3906742.05</v>
          </cell>
          <cell r="M33">
            <v>3585237.9299999997</v>
          </cell>
          <cell r="N33">
            <v>3646242.9</v>
          </cell>
          <cell r="O33">
            <v>2977178.5349999997</v>
          </cell>
          <cell r="P33">
            <v>2655681.6599999997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-12041539.829999998</v>
          </cell>
          <cell r="E34">
            <v>-1530639.7649999999</v>
          </cell>
          <cell r="F34">
            <v>-1302819.7049999998</v>
          </cell>
          <cell r="G34">
            <v>-1379870.2799999998</v>
          </cell>
          <cell r="H34">
            <v>-742089.82499999995</v>
          </cell>
          <cell r="I34">
            <v>-552619.62</v>
          </cell>
          <cell r="J34">
            <v>-450734.22</v>
          </cell>
          <cell r="K34">
            <v>-1024807.32</v>
          </cell>
          <cell r="L34">
            <v>-1293566.8049999999</v>
          </cell>
          <cell r="M34">
            <v>-1179983.835</v>
          </cell>
          <cell r="N34">
            <v>-1188903.4649999999</v>
          </cell>
          <cell r="O34">
            <v>-742089.82499999995</v>
          </cell>
          <cell r="P34">
            <v>-653415.16499999992</v>
          </cell>
          <cell r="T34">
            <v>31</v>
          </cell>
        </row>
        <row r="35">
          <cell r="A35">
            <v>32</v>
          </cell>
          <cell r="D35">
            <v>29362383.854999997</v>
          </cell>
          <cell r="E35">
            <v>2649755.25</v>
          </cell>
          <cell r="F35">
            <v>2563319.2949999999</v>
          </cell>
          <cell r="G35">
            <v>2703322.71</v>
          </cell>
          <cell r="H35">
            <v>2299261.8149999995</v>
          </cell>
          <cell r="I35">
            <v>2341381.1399999997</v>
          </cell>
          <cell r="J35">
            <v>2372678.5049999999</v>
          </cell>
          <cell r="K35">
            <v>2719541.1599999997</v>
          </cell>
          <cell r="L35">
            <v>2613175.2450000001</v>
          </cell>
          <cell r="M35">
            <v>2405254.0949999997</v>
          </cell>
          <cell r="N35">
            <v>2457339.4350000001</v>
          </cell>
          <cell r="O35">
            <v>2235088.71</v>
          </cell>
          <cell r="P35">
            <v>2002266.4949999996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- 2013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20</v>
          </cell>
          <cell r="F43">
            <v>19.5</v>
          </cell>
          <cell r="G43">
            <v>19.333333333333332</v>
          </cell>
          <cell r="H43">
            <v>19</v>
          </cell>
          <cell r="I43">
            <v>18.8</v>
          </cell>
          <cell r="J43">
            <v>18.666666666666668</v>
          </cell>
          <cell r="K43">
            <v>18.714285714285715</v>
          </cell>
          <cell r="L43">
            <v>18.5</v>
          </cell>
          <cell r="M43">
            <v>18.444444444444443</v>
          </cell>
          <cell r="N43">
            <v>18.399999999999999</v>
          </cell>
          <cell r="O43">
            <v>18.454545454545453</v>
          </cell>
          <cell r="P43">
            <v>18.5</v>
          </cell>
          <cell r="T43">
            <v>40</v>
          </cell>
          <cell r="U43" t="str">
            <v>Interruptible transporation</v>
          </cell>
          <cell r="X43">
            <v>18</v>
          </cell>
          <cell r="Y43">
            <v>18.5</v>
          </cell>
          <cell r="Z43">
            <v>18</v>
          </cell>
          <cell r="AA43">
            <v>17.5</v>
          </cell>
          <cell r="AB43">
            <v>17</v>
          </cell>
          <cell r="AC43">
            <v>17.333333333333332</v>
          </cell>
          <cell r="AD43">
            <v>17.571428571428573</v>
          </cell>
          <cell r="AE43">
            <v>17.75</v>
          </cell>
          <cell r="AF43">
            <v>18</v>
          </cell>
          <cell r="AG43">
            <v>18</v>
          </cell>
          <cell r="AH43">
            <v>18.09090909090909</v>
          </cell>
          <cell r="AI43">
            <v>18.25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 and MD</v>
          </cell>
          <cell r="X44">
            <v>-2</v>
          </cell>
          <cell r="Y44">
            <v>-2</v>
          </cell>
          <cell r="Z44">
            <v>-2</v>
          </cell>
          <cell r="AA44">
            <v>-2</v>
          </cell>
          <cell r="AB44">
            <v>-2</v>
          </cell>
          <cell r="AC44">
            <v>-2</v>
          </cell>
          <cell r="AD44">
            <v>-2</v>
          </cell>
          <cell r="AE44">
            <v>-2</v>
          </cell>
          <cell r="AF44">
            <v>-2</v>
          </cell>
          <cell r="AG44">
            <v>-2</v>
          </cell>
          <cell r="AH44">
            <v>-2</v>
          </cell>
          <cell r="AI44">
            <v>-2</v>
          </cell>
        </row>
        <row r="45">
          <cell r="A45">
            <v>42</v>
          </cell>
          <cell r="B45" t="str">
            <v>Total customers</v>
          </cell>
          <cell r="E45">
            <v>17</v>
          </cell>
          <cell r="F45">
            <v>16.5</v>
          </cell>
          <cell r="G45">
            <v>16.333333333333332</v>
          </cell>
          <cell r="H45">
            <v>16</v>
          </cell>
          <cell r="I45">
            <v>15.8</v>
          </cell>
          <cell r="J45">
            <v>15.666666666666668</v>
          </cell>
          <cell r="K45">
            <v>15.714285714285715</v>
          </cell>
          <cell r="L45">
            <v>15.5</v>
          </cell>
          <cell r="M45">
            <v>15.444444444444443</v>
          </cell>
          <cell r="N45">
            <v>15.399999999999999</v>
          </cell>
          <cell r="O45">
            <v>15.454545454545453</v>
          </cell>
          <cell r="P45">
            <v>15.5</v>
          </cell>
          <cell r="T45">
            <v>42</v>
          </cell>
          <cell r="U45" t="str">
            <v>Total customers</v>
          </cell>
          <cell r="X45">
            <v>16</v>
          </cell>
          <cell r="Y45">
            <v>16.5</v>
          </cell>
          <cell r="Z45">
            <v>16</v>
          </cell>
          <cell r="AA45">
            <v>15.5</v>
          </cell>
          <cell r="AB45">
            <v>15</v>
          </cell>
          <cell r="AC45">
            <v>15.333333333333332</v>
          </cell>
          <cell r="AD45">
            <v>15.571428571428573</v>
          </cell>
          <cell r="AE45">
            <v>15.75</v>
          </cell>
          <cell r="AF45">
            <v>16</v>
          </cell>
          <cell r="AG45">
            <v>16</v>
          </cell>
          <cell r="AH45">
            <v>16.09090909090909</v>
          </cell>
          <cell r="AI45">
            <v>16.25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- 2013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4954250</v>
          </cell>
          <cell r="F51">
            <v>9536103</v>
          </cell>
          <cell r="G51">
            <v>14195011</v>
          </cell>
          <cell r="H51">
            <v>17216104</v>
          </cell>
          <cell r="I51">
            <v>20123190</v>
          </cell>
          <cell r="J51">
            <v>22626436</v>
          </cell>
          <cell r="K51">
            <v>25518195</v>
          </cell>
          <cell r="L51">
            <v>28444785</v>
          </cell>
          <cell r="M51">
            <v>31508382</v>
          </cell>
          <cell r="N51">
            <v>34702089</v>
          </cell>
          <cell r="O51">
            <v>38695556</v>
          </cell>
          <cell r="P51">
            <v>43117402</v>
          </cell>
          <cell r="T51">
            <v>48</v>
          </cell>
          <cell r="U51" t="str">
            <v>Transportation firm</v>
          </cell>
          <cell r="X51">
            <v>3280771</v>
          </cell>
          <cell r="Y51">
            <v>6490399</v>
          </cell>
          <cell r="Z51">
            <v>9737556</v>
          </cell>
          <cell r="AA51">
            <v>12057372</v>
          </cell>
          <cell r="AB51">
            <v>14448757</v>
          </cell>
          <cell r="AC51">
            <v>16772112</v>
          </cell>
          <cell r="AD51">
            <v>19180144</v>
          </cell>
          <cell r="AE51">
            <v>21449502</v>
          </cell>
          <cell r="AF51">
            <v>23554130</v>
          </cell>
          <cell r="AG51">
            <v>25988508</v>
          </cell>
          <cell r="AH51">
            <v>29039704</v>
          </cell>
          <cell r="AI51">
            <v>32472109</v>
          </cell>
        </row>
        <row r="52">
          <cell r="A52">
            <v>49</v>
          </cell>
          <cell r="B52" t="str">
            <v>Interruptible transportation</v>
          </cell>
          <cell r="E52">
            <v>174991</v>
          </cell>
          <cell r="F52">
            <v>273746</v>
          </cell>
          <cell r="G52">
            <v>437848</v>
          </cell>
          <cell r="H52">
            <v>488783</v>
          </cell>
          <cell r="I52">
            <v>562886</v>
          </cell>
          <cell r="J52">
            <v>689417</v>
          </cell>
          <cell r="K52">
            <v>887921</v>
          </cell>
          <cell r="L52">
            <v>999215</v>
          </cell>
          <cell r="M52">
            <v>1128318</v>
          </cell>
          <cell r="N52">
            <v>1246925</v>
          </cell>
          <cell r="O52">
            <v>1471558</v>
          </cell>
          <cell r="P52">
            <v>1599941</v>
          </cell>
          <cell r="T52">
            <v>49</v>
          </cell>
          <cell r="U52" t="str">
            <v>Interruptible transporation</v>
          </cell>
          <cell r="X52">
            <v>656263</v>
          </cell>
          <cell r="Y52">
            <v>1177616</v>
          </cell>
          <cell r="Z52">
            <v>1512682</v>
          </cell>
          <cell r="AA52">
            <v>1774105</v>
          </cell>
          <cell r="AB52">
            <v>2011968</v>
          </cell>
          <cell r="AC52">
            <v>2225003</v>
          </cell>
          <cell r="AD52">
            <v>2487159</v>
          </cell>
          <cell r="AE52">
            <v>2641834</v>
          </cell>
          <cell r="AF52">
            <v>2719535</v>
          </cell>
          <cell r="AG52">
            <v>2847847</v>
          </cell>
          <cell r="AH52">
            <v>3105587</v>
          </cell>
          <cell r="AI52">
            <v>3268023</v>
          </cell>
        </row>
        <row r="53">
          <cell r="A53">
            <v>50</v>
          </cell>
          <cell r="B53" t="str">
            <v>Less: ESNG to DE, MD &amp; SP</v>
          </cell>
          <cell r="E53">
            <v>-1760470</v>
          </cell>
          <cell r="F53">
            <v>-3249514</v>
          </cell>
          <cell r="G53">
            <v>-4633556</v>
          </cell>
          <cell r="H53">
            <v>-5418259</v>
          </cell>
          <cell r="I53">
            <v>-5954653</v>
          </cell>
          <cell r="J53">
            <v>-6434433</v>
          </cell>
          <cell r="K53">
            <v>-6888506</v>
          </cell>
          <cell r="L53">
            <v>-7363475</v>
          </cell>
          <cell r="M53">
            <v>-7919907</v>
          </cell>
          <cell r="N53">
            <v>-8601646</v>
          </cell>
          <cell r="O53">
            <v>-9706054</v>
          </cell>
          <cell r="P53">
            <v>-11053974</v>
          </cell>
          <cell r="T53">
            <v>50</v>
          </cell>
          <cell r="U53" t="str">
            <v>Less: ESNG to DE and MD</v>
          </cell>
          <cell r="X53">
            <v>-1460850</v>
          </cell>
          <cell r="Y53">
            <v>-2838622</v>
          </cell>
          <cell r="Z53">
            <v>-4157285</v>
          </cell>
          <cell r="AA53">
            <v>-4886957</v>
          </cell>
          <cell r="AB53">
            <v>-5408715</v>
          </cell>
          <cell r="AC53">
            <v>-5838482</v>
          </cell>
          <cell r="AD53">
            <v>-6271093</v>
          </cell>
          <cell r="AE53">
            <v>-6733784</v>
          </cell>
          <cell r="AF53">
            <v>-7281194</v>
          </cell>
          <cell r="AG53">
            <v>-7933887</v>
          </cell>
          <cell r="AH53">
            <v>-8971464</v>
          </cell>
          <cell r="AI53">
            <v>-10258084</v>
          </cell>
        </row>
        <row r="54">
          <cell r="A54">
            <v>51</v>
          </cell>
          <cell r="B54" t="str">
            <v>Total Deliveries</v>
          </cell>
          <cell r="E54">
            <v>3368771</v>
          </cell>
          <cell r="F54">
            <v>6560335</v>
          </cell>
          <cell r="G54">
            <v>9999303</v>
          </cell>
          <cell r="H54">
            <v>12286628</v>
          </cell>
          <cell r="I54">
            <v>14731423</v>
          </cell>
          <cell r="J54">
            <v>16881420</v>
          </cell>
          <cell r="K54">
            <v>19517610</v>
          </cell>
          <cell r="L54">
            <v>22080525</v>
          </cell>
          <cell r="M54">
            <v>24716793</v>
          </cell>
          <cell r="N54">
            <v>27347368</v>
          </cell>
          <cell r="O54">
            <v>30461060</v>
          </cell>
          <cell r="P54">
            <v>33663369</v>
          </cell>
          <cell r="T54">
            <v>51</v>
          </cell>
          <cell r="U54" t="str">
            <v>Total Deliveries</v>
          </cell>
          <cell r="X54">
            <v>2476184</v>
          </cell>
          <cell r="Y54">
            <v>4829393</v>
          </cell>
          <cell r="Z54">
            <v>7092953</v>
          </cell>
          <cell r="AA54">
            <v>8944520</v>
          </cell>
          <cell r="AB54">
            <v>11052010</v>
          </cell>
          <cell r="AC54">
            <v>13158633</v>
          </cell>
          <cell r="AD54">
            <v>15396210</v>
          </cell>
          <cell r="AE54">
            <v>17357552</v>
          </cell>
          <cell r="AF54">
            <v>18992471</v>
          </cell>
          <cell r="AG54">
            <v>20902468</v>
          </cell>
          <cell r="AH54">
            <v>23173827</v>
          </cell>
          <cell r="AI54">
            <v>25482048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5275533</v>
          </cell>
          <cell r="F58">
            <v>10103202</v>
          </cell>
          <cell r="G58">
            <v>15010476</v>
          </cell>
          <cell r="H58">
            <v>18202110</v>
          </cell>
          <cell r="I58">
            <v>21277487.20854</v>
          </cell>
          <cell r="J58">
            <v>23929901.637680002</v>
          </cell>
          <cell r="K58">
            <v>27015553.07863</v>
          </cell>
          <cell r="L58">
            <v>30137053.972630002</v>
          </cell>
          <cell r="M58">
            <v>33397395.171970002</v>
          </cell>
          <cell r="N58">
            <v>36798246.007990003</v>
          </cell>
          <cell r="O58">
            <v>41060233.72907</v>
          </cell>
          <cell r="P58">
            <v>45778652.940290004</v>
          </cell>
          <cell r="T58">
            <v>55</v>
          </cell>
          <cell r="U58" t="str">
            <v>Transportation firm</v>
          </cell>
          <cell r="X58">
            <v>3405571.5288400003</v>
          </cell>
          <cell r="Y58">
            <v>6733313.8392399997</v>
          </cell>
          <cell r="Z58">
            <v>10098277.6952</v>
          </cell>
          <cell r="AA58">
            <v>12487270.60832</v>
          </cell>
          <cell r="AB58">
            <v>14961827.97862</v>
          </cell>
          <cell r="AC58">
            <v>17391778.506020002</v>
          </cell>
          <cell r="AD58">
            <v>19945062.996260002</v>
          </cell>
          <cell r="AE58">
            <v>22360703.812940001</v>
          </cell>
          <cell r="AF58">
            <v>24621768.812180001</v>
          </cell>
          <cell r="AG58">
            <v>27230935.15258</v>
          </cell>
          <cell r="AH58">
            <v>30515486.62266</v>
          </cell>
          <cell r="AI58">
            <v>34185722.965110004</v>
          </cell>
        </row>
        <row r="59">
          <cell r="A59">
            <v>56</v>
          </cell>
          <cell r="B59" t="str">
            <v>Interruptible transportation</v>
          </cell>
          <cell r="E59">
            <v>186339</v>
          </cell>
          <cell r="F59">
            <v>290392</v>
          </cell>
          <cell r="G59">
            <v>463242</v>
          </cell>
          <cell r="H59">
            <v>517052</v>
          </cell>
          <cell r="I59">
            <v>595444.82267000002</v>
          </cell>
          <cell r="J59">
            <v>729515.8049600001</v>
          </cell>
          <cell r="K59">
            <v>941329.49816000008</v>
          </cell>
          <cell r="L59">
            <v>1060035.6785600001</v>
          </cell>
          <cell r="M59">
            <v>1197429.6732200002</v>
          </cell>
          <cell r="N59">
            <v>1323729.5232400002</v>
          </cell>
          <cell r="O59">
            <v>1563466.8461600002</v>
          </cell>
          <cell r="P59">
            <v>1700460.4939700002</v>
          </cell>
        </row>
        <row r="60">
          <cell r="A60">
            <v>57</v>
          </cell>
          <cell r="B60" t="str">
            <v>Less: ESNG to DE, MD &amp; SP</v>
          </cell>
          <cell r="E60">
            <v>-1874636</v>
          </cell>
          <cell r="F60">
            <v>-3443567</v>
          </cell>
          <cell r="G60">
            <v>-4901392</v>
          </cell>
          <cell r="H60">
            <v>-5730391</v>
          </cell>
          <cell r="I60">
            <v>-6297836.8486599997</v>
          </cell>
          <cell r="J60">
            <v>-6806206.9388600001</v>
          </cell>
          <cell r="K60">
            <v>-7290725.5335100004</v>
          </cell>
          <cell r="L60">
            <v>-7797327.4689100003</v>
          </cell>
          <cell r="M60">
            <v>-8389493.5319500007</v>
          </cell>
          <cell r="N60">
            <v>-9115450.1234900001</v>
          </cell>
          <cell r="O60">
            <v>-10294118.517410001</v>
          </cell>
          <cell r="P60">
            <v>-11732443.511810001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3587236</v>
          </cell>
          <cell r="F61">
            <v>6950027</v>
          </cell>
          <cell r="G61">
            <v>10572326</v>
          </cell>
          <cell r="H61">
            <v>12988771</v>
          </cell>
          <cell r="I61">
            <v>15575095.182550002</v>
          </cell>
          <cell r="J61">
            <v>17853210.503780004</v>
          </cell>
          <cell r="K61">
            <v>20666157.043280002</v>
          </cell>
          <cell r="L61">
            <v>23399762.18228</v>
          </cell>
          <cell r="M61">
            <v>26205331.313240003</v>
          </cell>
          <cell r="N61">
            <v>29006525.407740004</v>
          </cell>
          <cell r="O61">
            <v>32329582.05782</v>
          </cell>
          <cell r="P61">
            <v>35746669.922450006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4039029</v>
          </cell>
          <cell r="F66">
            <v>7774429</v>
          </cell>
          <cell r="G66">
            <v>11719543</v>
          </cell>
          <cell r="H66">
            <v>14658047</v>
          </cell>
          <cell r="I66">
            <v>17454183</v>
          </cell>
          <cell r="J66">
            <v>20182118</v>
          </cell>
          <cell r="K66">
            <v>23799846</v>
          </cell>
          <cell r="L66">
            <v>27574476</v>
          </cell>
          <cell r="M66">
            <v>31038474</v>
          </cell>
          <cell r="N66">
            <v>34561414</v>
          </cell>
          <cell r="O66">
            <v>37437915</v>
          </cell>
          <cell r="P66">
            <v>40003791</v>
          </cell>
        </row>
        <row r="67">
          <cell r="A67">
            <v>64</v>
          </cell>
          <cell r="B67" t="str">
            <v>Less Sales to DE/MD/SP</v>
          </cell>
          <cell r="E67">
            <v>-1478879</v>
          </cell>
          <cell r="F67">
            <v>-2737642</v>
          </cell>
          <cell r="G67">
            <v>-4070850</v>
          </cell>
          <cell r="H67">
            <v>-4787845</v>
          </cell>
          <cell r="I67">
            <v>-5321777</v>
          </cell>
          <cell r="J67">
            <v>-5757269</v>
          </cell>
          <cell r="K67">
            <v>-6747421</v>
          </cell>
          <cell r="L67">
            <v>-7997244</v>
          </cell>
          <cell r="M67">
            <v>-9137325</v>
          </cell>
          <cell r="N67">
            <v>-10286024</v>
          </cell>
          <cell r="O67">
            <v>-11003019</v>
          </cell>
          <cell r="P67">
            <v>-11634338</v>
          </cell>
        </row>
        <row r="68">
          <cell r="A68">
            <v>65</v>
          </cell>
          <cell r="E68">
            <v>2560150</v>
          </cell>
          <cell r="F68">
            <v>5036787</v>
          </cell>
          <cell r="G68">
            <v>7648693</v>
          </cell>
          <cell r="H68">
            <v>9870202</v>
          </cell>
          <cell r="I68">
            <v>12132406</v>
          </cell>
          <cell r="J68">
            <v>14424849</v>
          </cell>
          <cell r="K68">
            <v>17052425</v>
          </cell>
          <cell r="L68">
            <v>19577232</v>
          </cell>
          <cell r="M68">
            <v>21901149</v>
          </cell>
          <cell r="N68">
            <v>24275390</v>
          </cell>
          <cell r="O68">
            <v>26434896</v>
          </cell>
          <cell r="P68">
            <v>28369453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4180395.0149999997</v>
          </cell>
          <cell r="F70">
            <v>8046534.0149999987</v>
          </cell>
          <cell r="G70">
            <v>12129727.004999999</v>
          </cell>
          <cell r="H70">
            <v>15171078.645</v>
          </cell>
          <cell r="I70">
            <v>18065079.405000001</v>
          </cell>
          <cell r="J70">
            <v>20888492.130000003</v>
          </cell>
          <cell r="K70">
            <v>24632840.610000003</v>
          </cell>
          <cell r="L70">
            <v>28539582.660000004</v>
          </cell>
          <cell r="M70">
            <v>32124820.590000004</v>
          </cell>
          <cell r="N70">
            <v>35771063.490000002</v>
          </cell>
          <cell r="O70">
            <v>38748242.024999999</v>
          </cell>
          <cell r="P70">
            <v>41403923.684999995</v>
          </cell>
        </row>
        <row r="71">
          <cell r="A71">
            <v>68</v>
          </cell>
          <cell r="B71" t="str">
            <v>Less Sales to DE/MD/SP</v>
          </cell>
          <cell r="E71">
            <v>-1530639.7649999999</v>
          </cell>
          <cell r="F71">
            <v>-2833459.4699999997</v>
          </cell>
          <cell r="G71">
            <v>-4213329.75</v>
          </cell>
          <cell r="H71">
            <v>-4955419.5750000002</v>
          </cell>
          <cell r="I71">
            <v>-5508039.1950000003</v>
          </cell>
          <cell r="J71">
            <v>-5958773.415</v>
          </cell>
          <cell r="K71">
            <v>-6983580.7350000003</v>
          </cell>
          <cell r="L71">
            <v>-8277147.54</v>
          </cell>
          <cell r="M71">
            <v>-9457131.375</v>
          </cell>
          <cell r="N71">
            <v>-10646034.84</v>
          </cell>
          <cell r="O71">
            <v>-11388124.664999999</v>
          </cell>
          <cell r="P71">
            <v>-12041539.829999998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PESCO"/>
      <sheetName val="Floridapropane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2015 and 2014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2015</v>
          </cell>
          <cell r="J14" t="str">
            <v>Actual customers for the Month of January 2014</v>
          </cell>
          <cell r="K14" t="str">
            <v>Average customers for the One Month ended January 31, 2015</v>
          </cell>
          <cell r="L14" t="str">
            <v>Average customers for the One Month ended January 31, 2014</v>
          </cell>
          <cell r="M14" t="str">
            <v>Volume for the Month of January 2015</v>
          </cell>
          <cell r="N14" t="str">
            <v>Volume for the Month of January 2014</v>
          </cell>
          <cell r="O14" t="str">
            <v>Volume for the One Month ended January 31, 2015</v>
          </cell>
          <cell r="P14" t="str">
            <v>Volume for the One Month ended January 31, 2014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2015 and 2014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2015</v>
          </cell>
          <cell r="J15" t="str">
            <v>Actual customers for the Month of February 2014</v>
          </cell>
          <cell r="K15" t="str">
            <v>Average customers for the Two Months ended February 28, 2015</v>
          </cell>
          <cell r="L15" t="str">
            <v>Average customers for the Two Months ended February 28, 2014</v>
          </cell>
          <cell r="M15" t="str">
            <v>Volume for the Month of February 2015</v>
          </cell>
          <cell r="N15" t="str">
            <v>Volume for the Month of February 2014</v>
          </cell>
          <cell r="O15" t="str">
            <v>Volume for the Two Months ended February 28, 2015</v>
          </cell>
          <cell r="P15" t="str">
            <v>Volume for the Two Months ended February 28, 2014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2015 and 2014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2015</v>
          </cell>
          <cell r="J16" t="str">
            <v>Actual customers for the Month of March 2014</v>
          </cell>
          <cell r="K16" t="str">
            <v>Average customers for the Three Months ended March 31, 2015</v>
          </cell>
          <cell r="L16" t="str">
            <v>Average customers for the Three Months ended March 31, 2014</v>
          </cell>
          <cell r="M16" t="str">
            <v>Volume for the Month of March 2015</v>
          </cell>
          <cell r="N16" t="str">
            <v>Volume for the Month of March 2014</v>
          </cell>
          <cell r="O16" t="str">
            <v>Volume for the Three Months ended March 31, 2015</v>
          </cell>
          <cell r="P16" t="str">
            <v>Volume for the Three Months ended March 31, 2014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2015 and 2014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2015</v>
          </cell>
          <cell r="J17" t="str">
            <v>Actual customers for the Month of April 2014</v>
          </cell>
          <cell r="K17" t="str">
            <v>Average customers for the Four Months ended April 30, 2015</v>
          </cell>
          <cell r="L17" t="str">
            <v>Average customers for the Four Months ended April 30, 2014</v>
          </cell>
          <cell r="M17" t="str">
            <v>Volume for the Month of April 2015</v>
          </cell>
          <cell r="N17" t="str">
            <v>Volume for the Month of April 2014</v>
          </cell>
          <cell r="O17" t="str">
            <v>Volume for the Four Months ended April 30, 2015</v>
          </cell>
          <cell r="P17" t="str">
            <v>Volume for the Four Months ended April 30, 2014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2015 and 2014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2015</v>
          </cell>
          <cell r="J18" t="str">
            <v>Actual customers for the Month of May 2014</v>
          </cell>
          <cell r="K18" t="str">
            <v>Average customers for the Five Months ended May 31, 2015</v>
          </cell>
          <cell r="L18" t="str">
            <v>Average customers for the Five Months ended May 31, 2014</v>
          </cell>
          <cell r="M18" t="str">
            <v>Volume for the Month of May 2015</v>
          </cell>
          <cell r="N18" t="str">
            <v>Volume for the Month of May 2014</v>
          </cell>
          <cell r="O18" t="str">
            <v>Volume for the Five Months ended May 31, 2015</v>
          </cell>
          <cell r="P18" t="str">
            <v>Volume for the Five Months ended May 31, 2014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2015 and 2014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2015</v>
          </cell>
          <cell r="J19" t="str">
            <v>Actual customers for the Month of June 2014</v>
          </cell>
          <cell r="K19" t="str">
            <v>Average customers for the Six Months ended June 30, 2015</v>
          </cell>
          <cell r="L19" t="str">
            <v>Average customers for the Six Months ended June 30, 2014</v>
          </cell>
          <cell r="M19" t="str">
            <v>Volume for the Month of June 2015</v>
          </cell>
          <cell r="N19" t="str">
            <v>Volume for the Month of June 2014</v>
          </cell>
          <cell r="O19" t="str">
            <v>Volume for the Six Months ended June 30, 2015</v>
          </cell>
          <cell r="P19" t="str">
            <v>Volume for the Six Months ended June 30, 2014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2015 and 2014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2015</v>
          </cell>
          <cell r="J20" t="str">
            <v>Actual customers for the Month of July 2014</v>
          </cell>
          <cell r="K20" t="str">
            <v>Average customers for the Seven Months ended July 31, 2015</v>
          </cell>
          <cell r="L20" t="str">
            <v>Average customers for the Seven Months ended July 31, 2014</v>
          </cell>
          <cell r="M20" t="str">
            <v>Volume for the Month of July 2015</v>
          </cell>
          <cell r="N20" t="str">
            <v>Volume for the Month of July 2014</v>
          </cell>
          <cell r="O20" t="str">
            <v>Volume for the Seven Months ended July 31, 2015</v>
          </cell>
          <cell r="P20" t="str">
            <v>Volume for the Seven Months ended July 31, 2014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2015 and 2014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2015</v>
          </cell>
          <cell r="J21" t="str">
            <v>Actual customers for the Month of August 2014</v>
          </cell>
          <cell r="K21" t="str">
            <v>Average customers for the Eight Months ended August 31, 2015</v>
          </cell>
          <cell r="L21" t="str">
            <v>Average customers for the Eight Months ended August 31, 2014</v>
          </cell>
          <cell r="M21" t="str">
            <v>Volume for the Month of August 2015</v>
          </cell>
          <cell r="N21" t="str">
            <v>Volume for the Month of August 2014</v>
          </cell>
          <cell r="O21" t="str">
            <v>Volume for the Eight Months ended August 31, 2015</v>
          </cell>
          <cell r="P21" t="str">
            <v>Volume for the Eight Months ended August 31, 2014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2015 and 2014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2015</v>
          </cell>
          <cell r="J22" t="str">
            <v>Actual customers for the Month of September 2014</v>
          </cell>
          <cell r="K22" t="str">
            <v>Average customers for the Nine Months ended September 30, 2015</v>
          </cell>
          <cell r="L22" t="str">
            <v>Average customers for the Nine Months ended September 30, 2014</v>
          </cell>
          <cell r="M22" t="str">
            <v>Volume for the Month of September 2015</v>
          </cell>
          <cell r="N22" t="str">
            <v>Volume for the Month of September 2014</v>
          </cell>
          <cell r="O22" t="str">
            <v>Volume for the Nine Months ended September 30, 2015</v>
          </cell>
          <cell r="P22" t="str">
            <v>Volume for the Nine Months ended September 30, 2014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2015 and 2014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2015</v>
          </cell>
          <cell r="J23" t="str">
            <v>Actual customers for the Month of October 2014</v>
          </cell>
          <cell r="K23" t="str">
            <v>Average customers for the Ten Months ended October 31, 2015</v>
          </cell>
          <cell r="L23" t="str">
            <v>Average customers for the Ten Months ended October 31, 2014</v>
          </cell>
          <cell r="M23" t="str">
            <v>Volume for the Month of October 2015</v>
          </cell>
          <cell r="N23" t="str">
            <v>Volume for the Month of October 2014</v>
          </cell>
          <cell r="O23" t="str">
            <v>Volume for the Ten Months ended October 31, 2015</v>
          </cell>
          <cell r="P23" t="str">
            <v>Volume for the Ten Months ended October 31, 2014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2015 and 2014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2015</v>
          </cell>
          <cell r="J24" t="str">
            <v>Actual customers for the Month of November 2014</v>
          </cell>
          <cell r="K24" t="str">
            <v>Average customers for the Eleven Months ended November 30, 2015</v>
          </cell>
          <cell r="L24" t="str">
            <v>Average customers for the Eleven Months ended November 30, 2014</v>
          </cell>
          <cell r="M24" t="str">
            <v>Volume for the Month of November 2015</v>
          </cell>
          <cell r="N24" t="str">
            <v>Volume for the Month of November 2014</v>
          </cell>
          <cell r="O24" t="str">
            <v>Volume for the Eleven Months ended November 30, 2015</v>
          </cell>
          <cell r="P24" t="str">
            <v>Volume for the Eleven Months ended November 30, 2014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2015 and 2014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2015</v>
          </cell>
          <cell r="J25" t="str">
            <v>Actual customers for the Month of December 2014</v>
          </cell>
          <cell r="K25" t="str">
            <v>Average customers for the Twelve Months ended December 31, 2015</v>
          </cell>
          <cell r="L25" t="str">
            <v>Average customers for the Twelve Months ended December 31, 2014</v>
          </cell>
          <cell r="M25" t="str">
            <v>Volume for the Month of December 2015</v>
          </cell>
          <cell r="N25" t="str">
            <v>Volume for the Month of December 2014</v>
          </cell>
          <cell r="O25" t="str">
            <v>Volume for the Twelve Months ended December 31, 2015</v>
          </cell>
          <cell r="P25" t="str">
            <v>Volume for the Twelve Months ended December 31, 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G3" t="str">
            <v>For the Twelve Months ended December 31, 2015 and 2014</v>
          </cell>
        </row>
      </sheetData>
      <sheetData sheetId="6" refreshError="1"/>
      <sheetData sheetId="7" refreshError="1"/>
      <sheetData sheetId="8" refreshError="1"/>
      <sheetData sheetId="9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43284.833333333336</v>
          </cell>
          <cell r="E5">
            <v>43161</v>
          </cell>
          <cell r="F5">
            <v>43342</v>
          </cell>
          <cell r="G5">
            <v>43453</v>
          </cell>
          <cell r="H5">
            <v>43386</v>
          </cell>
          <cell r="I5">
            <v>43045</v>
          </cell>
          <cell r="J5">
            <v>42691</v>
          </cell>
          <cell r="K5">
            <v>42650</v>
          </cell>
          <cell r="L5">
            <v>42689</v>
          </cell>
          <cell r="M5">
            <v>42997</v>
          </cell>
          <cell r="N5">
            <v>43349</v>
          </cell>
          <cell r="O5">
            <v>44105</v>
          </cell>
          <cell r="P5">
            <v>44550</v>
          </cell>
          <cell r="T5">
            <v>2</v>
          </cell>
          <cell r="U5" t="str">
            <v>Residential</v>
          </cell>
          <cell r="V5">
            <v>41465</v>
          </cell>
          <cell r="W5">
            <v>497584</v>
          </cell>
          <cell r="X5">
            <v>41387</v>
          </cell>
          <cell r="Y5">
            <v>41536</v>
          </cell>
          <cell r="Z5">
            <v>41693</v>
          </cell>
          <cell r="AA5">
            <v>41669</v>
          </cell>
          <cell r="AB5">
            <v>41119</v>
          </cell>
          <cell r="AC5">
            <v>41046</v>
          </cell>
          <cell r="AD5">
            <v>40859</v>
          </cell>
          <cell r="AE5">
            <v>40868</v>
          </cell>
          <cell r="AF5">
            <v>41106</v>
          </cell>
          <cell r="AG5">
            <v>41409</v>
          </cell>
          <cell r="AH5">
            <v>42091</v>
          </cell>
          <cell r="AI5">
            <v>42801</v>
          </cell>
        </row>
        <row r="6">
          <cell r="A6">
            <v>3</v>
          </cell>
          <cell r="B6" t="str">
            <v>Commercial</v>
          </cell>
          <cell r="D6">
            <v>3768.1666666666665</v>
          </cell>
          <cell r="E6">
            <v>3783</v>
          </cell>
          <cell r="F6">
            <v>3824</v>
          </cell>
          <cell r="G6">
            <v>3843</v>
          </cell>
          <cell r="H6">
            <v>3808</v>
          </cell>
          <cell r="I6">
            <v>3743</v>
          </cell>
          <cell r="J6">
            <v>3721</v>
          </cell>
          <cell r="K6">
            <v>3716</v>
          </cell>
          <cell r="L6">
            <v>3713</v>
          </cell>
          <cell r="M6">
            <v>3716</v>
          </cell>
          <cell r="N6">
            <v>3721</v>
          </cell>
          <cell r="O6">
            <v>3785</v>
          </cell>
          <cell r="P6">
            <v>3845</v>
          </cell>
          <cell r="T6">
            <v>3</v>
          </cell>
          <cell r="U6" t="str">
            <v>Commercial</v>
          </cell>
          <cell r="V6">
            <v>3663</v>
          </cell>
          <cell r="W6">
            <v>43958</v>
          </cell>
          <cell r="X6">
            <v>3693</v>
          </cell>
          <cell r="Y6">
            <v>3729</v>
          </cell>
          <cell r="Z6">
            <v>3736</v>
          </cell>
          <cell r="AA6">
            <v>3723</v>
          </cell>
          <cell r="AB6">
            <v>3659</v>
          </cell>
          <cell r="AC6">
            <v>3617</v>
          </cell>
          <cell r="AD6">
            <v>3602</v>
          </cell>
          <cell r="AE6">
            <v>3593</v>
          </cell>
          <cell r="AF6">
            <v>3589</v>
          </cell>
          <cell r="AG6">
            <v>3600</v>
          </cell>
          <cell r="AH6">
            <v>3660</v>
          </cell>
          <cell r="AI6">
            <v>3757</v>
          </cell>
        </row>
        <row r="7">
          <cell r="A7">
            <v>4</v>
          </cell>
          <cell r="B7" t="str">
            <v xml:space="preserve">Industrial </v>
          </cell>
          <cell r="D7">
            <v>77.333333333333329</v>
          </cell>
          <cell r="E7">
            <v>75</v>
          </cell>
          <cell r="F7">
            <v>75</v>
          </cell>
          <cell r="G7">
            <v>75</v>
          </cell>
          <cell r="H7">
            <v>75</v>
          </cell>
          <cell r="I7">
            <v>76</v>
          </cell>
          <cell r="J7">
            <v>76</v>
          </cell>
          <cell r="K7">
            <v>76</v>
          </cell>
          <cell r="L7">
            <v>78</v>
          </cell>
          <cell r="M7">
            <v>80</v>
          </cell>
          <cell r="N7">
            <v>80</v>
          </cell>
          <cell r="O7">
            <v>82</v>
          </cell>
          <cell r="P7">
            <v>80</v>
          </cell>
          <cell r="T7">
            <v>4</v>
          </cell>
          <cell r="U7" t="str">
            <v xml:space="preserve">Industrial </v>
          </cell>
          <cell r="V7">
            <v>71</v>
          </cell>
          <cell r="W7">
            <v>849</v>
          </cell>
          <cell r="X7">
            <v>70</v>
          </cell>
          <cell r="Y7">
            <v>70</v>
          </cell>
          <cell r="Z7">
            <v>70</v>
          </cell>
          <cell r="AA7">
            <v>68</v>
          </cell>
          <cell r="AB7">
            <v>69</v>
          </cell>
          <cell r="AC7">
            <v>69</v>
          </cell>
          <cell r="AD7">
            <v>69</v>
          </cell>
          <cell r="AE7">
            <v>70</v>
          </cell>
          <cell r="AF7">
            <v>71</v>
          </cell>
          <cell r="AG7">
            <v>74</v>
          </cell>
          <cell r="AH7">
            <v>74</v>
          </cell>
          <cell r="AI7">
            <v>75</v>
          </cell>
        </row>
        <row r="8">
          <cell r="A8">
            <v>5</v>
          </cell>
          <cell r="B8" t="str">
            <v>Other</v>
          </cell>
          <cell r="D8">
            <v>4.916666666666667</v>
          </cell>
          <cell r="E8">
            <v>7</v>
          </cell>
          <cell r="F8">
            <v>6</v>
          </cell>
          <cell r="G8">
            <v>6</v>
          </cell>
          <cell r="H8">
            <v>5</v>
          </cell>
          <cell r="I8">
            <v>6</v>
          </cell>
          <cell r="J8">
            <v>6</v>
          </cell>
          <cell r="K8">
            <v>5</v>
          </cell>
          <cell r="L8">
            <v>3</v>
          </cell>
          <cell r="M8">
            <v>4</v>
          </cell>
          <cell r="N8">
            <v>3</v>
          </cell>
          <cell r="O8">
            <v>4</v>
          </cell>
          <cell r="P8">
            <v>4</v>
          </cell>
          <cell r="T8">
            <v>5</v>
          </cell>
          <cell r="U8" t="str">
            <v xml:space="preserve">Interruptible </v>
          </cell>
          <cell r="V8">
            <v>7</v>
          </cell>
          <cell r="W8">
            <v>85</v>
          </cell>
          <cell r="X8">
            <v>7</v>
          </cell>
          <cell r="Y8">
            <v>6</v>
          </cell>
          <cell r="Z8">
            <v>7</v>
          </cell>
          <cell r="AA8">
            <v>7</v>
          </cell>
          <cell r="AB8">
            <v>6</v>
          </cell>
          <cell r="AC8">
            <v>7</v>
          </cell>
          <cell r="AD8">
            <v>6</v>
          </cell>
          <cell r="AE8">
            <v>7</v>
          </cell>
          <cell r="AF8">
            <v>8</v>
          </cell>
          <cell r="AG8">
            <v>11</v>
          </cell>
          <cell r="AH8">
            <v>6</v>
          </cell>
          <cell r="AI8">
            <v>7</v>
          </cell>
        </row>
        <row r="9">
          <cell r="A9">
            <v>6</v>
          </cell>
          <cell r="B9" t="str">
            <v>Total customers</v>
          </cell>
          <cell r="D9">
            <v>47135.25</v>
          </cell>
          <cell r="E9">
            <v>47026</v>
          </cell>
          <cell r="F9">
            <v>47247</v>
          </cell>
          <cell r="G9">
            <v>47377</v>
          </cell>
          <cell r="H9">
            <v>47274</v>
          </cell>
          <cell r="I9">
            <v>46870</v>
          </cell>
          <cell r="J9">
            <v>46494</v>
          </cell>
          <cell r="K9">
            <v>46447</v>
          </cell>
          <cell r="L9">
            <v>46483</v>
          </cell>
          <cell r="M9">
            <v>46797</v>
          </cell>
          <cell r="N9">
            <v>47153</v>
          </cell>
          <cell r="O9">
            <v>47976</v>
          </cell>
          <cell r="P9">
            <v>48479</v>
          </cell>
          <cell r="T9">
            <v>6</v>
          </cell>
          <cell r="U9" t="str">
            <v>Total customers</v>
          </cell>
          <cell r="V9">
            <v>45206</v>
          </cell>
          <cell r="W9">
            <v>542476</v>
          </cell>
          <cell r="X9">
            <v>45157</v>
          </cell>
          <cell r="Y9">
            <v>45341</v>
          </cell>
          <cell r="Z9">
            <v>45506</v>
          </cell>
          <cell r="AA9">
            <v>45467</v>
          </cell>
          <cell r="AB9">
            <v>44853</v>
          </cell>
          <cell r="AC9">
            <v>44739</v>
          </cell>
          <cell r="AD9">
            <v>44536</v>
          </cell>
          <cell r="AE9">
            <v>44538</v>
          </cell>
          <cell r="AF9">
            <v>44774</v>
          </cell>
          <cell r="AG9">
            <v>45094</v>
          </cell>
          <cell r="AH9">
            <v>45831</v>
          </cell>
          <cell r="AI9">
            <v>46640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2689939</v>
          </cell>
          <cell r="E12">
            <v>509525</v>
          </cell>
          <cell r="F12">
            <v>609347</v>
          </cell>
          <cell r="G12">
            <v>562513</v>
          </cell>
          <cell r="H12">
            <v>280456</v>
          </cell>
          <cell r="I12">
            <v>105415</v>
          </cell>
          <cell r="J12">
            <v>49492</v>
          </cell>
          <cell r="K12">
            <v>43773</v>
          </cell>
          <cell r="L12">
            <v>40290</v>
          </cell>
          <cell r="M12">
            <v>39466</v>
          </cell>
          <cell r="N12">
            <v>71236</v>
          </cell>
          <cell r="O12">
            <v>132251</v>
          </cell>
          <cell r="P12">
            <v>246175</v>
          </cell>
          <cell r="T12">
            <v>9</v>
          </cell>
          <cell r="U12" t="str">
            <v>Residential</v>
          </cell>
          <cell r="W12">
            <v>2696882</v>
          </cell>
          <cell r="X12">
            <v>494520</v>
          </cell>
          <cell r="Y12">
            <v>583734</v>
          </cell>
          <cell r="Z12">
            <v>466076</v>
          </cell>
          <cell r="AA12">
            <v>276146</v>
          </cell>
          <cell r="AB12">
            <v>123421</v>
          </cell>
          <cell r="AC12">
            <v>48859</v>
          </cell>
          <cell r="AD12">
            <v>40996</v>
          </cell>
          <cell r="AE12">
            <v>39492</v>
          </cell>
          <cell r="AF12">
            <v>38628</v>
          </cell>
          <cell r="AG12">
            <v>54030</v>
          </cell>
          <cell r="AH12">
            <v>174063</v>
          </cell>
          <cell r="AI12">
            <v>356917</v>
          </cell>
        </row>
        <row r="13">
          <cell r="A13">
            <v>10</v>
          </cell>
          <cell r="B13" t="str">
            <v>Commercial</v>
          </cell>
          <cell r="D13">
            <v>2176818</v>
          </cell>
          <cell r="E13">
            <v>357360</v>
          </cell>
          <cell r="F13">
            <v>420991</v>
          </cell>
          <cell r="G13">
            <v>366653</v>
          </cell>
          <cell r="H13">
            <v>201717</v>
          </cell>
          <cell r="I13">
            <v>96219</v>
          </cell>
          <cell r="J13">
            <v>75936</v>
          </cell>
          <cell r="K13">
            <v>75151</v>
          </cell>
          <cell r="L13">
            <v>68957</v>
          </cell>
          <cell r="M13">
            <v>72299</v>
          </cell>
          <cell r="N13">
            <v>108548</v>
          </cell>
          <cell r="O13">
            <v>131520</v>
          </cell>
          <cell r="P13">
            <v>201467</v>
          </cell>
          <cell r="T13">
            <v>10</v>
          </cell>
          <cell r="U13" t="str">
            <v>Commercial</v>
          </cell>
          <cell r="W13">
            <v>2303858</v>
          </cell>
          <cell r="X13">
            <v>364839</v>
          </cell>
          <cell r="Y13">
            <v>384375</v>
          </cell>
          <cell r="Z13">
            <v>338945</v>
          </cell>
          <cell r="AA13">
            <v>205247</v>
          </cell>
          <cell r="AB13">
            <v>124355</v>
          </cell>
          <cell r="AC13">
            <v>83125</v>
          </cell>
          <cell r="AD13">
            <v>80726</v>
          </cell>
          <cell r="AE13">
            <v>73110</v>
          </cell>
          <cell r="AF13">
            <v>77144</v>
          </cell>
          <cell r="AG13">
            <v>103760</v>
          </cell>
          <cell r="AH13">
            <v>175527</v>
          </cell>
          <cell r="AI13">
            <v>292705</v>
          </cell>
        </row>
        <row r="14">
          <cell r="A14">
            <v>11</v>
          </cell>
          <cell r="B14" t="str">
            <v xml:space="preserve">Industrial </v>
          </cell>
          <cell r="D14">
            <v>2853266</v>
          </cell>
          <cell r="E14">
            <v>267966</v>
          </cell>
          <cell r="F14">
            <v>264042</v>
          </cell>
          <cell r="G14">
            <v>275156</v>
          </cell>
          <cell r="H14">
            <v>242770</v>
          </cell>
          <cell r="I14">
            <v>203506</v>
          </cell>
          <cell r="J14">
            <v>200999</v>
          </cell>
          <cell r="K14">
            <v>208039</v>
          </cell>
          <cell r="L14">
            <v>189039</v>
          </cell>
          <cell r="M14">
            <v>244437</v>
          </cell>
          <cell r="N14">
            <v>254497</v>
          </cell>
          <cell r="O14">
            <v>222524</v>
          </cell>
          <cell r="P14">
            <v>280291</v>
          </cell>
          <cell r="T14">
            <v>11</v>
          </cell>
          <cell r="U14" t="str">
            <v xml:space="preserve">Industrial </v>
          </cell>
          <cell r="W14">
            <v>2750438</v>
          </cell>
          <cell r="X14">
            <v>257076</v>
          </cell>
          <cell r="Y14">
            <v>254807</v>
          </cell>
          <cell r="Z14">
            <v>256571</v>
          </cell>
          <cell r="AA14">
            <v>229232</v>
          </cell>
          <cell r="AB14">
            <v>203768</v>
          </cell>
          <cell r="AC14">
            <v>186229</v>
          </cell>
          <cell r="AD14">
            <v>183807</v>
          </cell>
          <cell r="AE14">
            <v>180641</v>
          </cell>
          <cell r="AF14">
            <v>228270</v>
          </cell>
          <cell r="AG14">
            <v>264188</v>
          </cell>
          <cell r="AH14">
            <v>226615</v>
          </cell>
          <cell r="AI14">
            <v>279234</v>
          </cell>
        </row>
        <row r="15">
          <cell r="A15">
            <v>12</v>
          </cell>
          <cell r="B15" t="str">
            <v>Other</v>
          </cell>
          <cell r="D15">
            <v>78085</v>
          </cell>
          <cell r="E15">
            <v>3035</v>
          </cell>
          <cell r="F15">
            <v>2816</v>
          </cell>
          <cell r="G15">
            <v>3877</v>
          </cell>
          <cell r="H15">
            <v>4625</v>
          </cell>
          <cell r="I15">
            <v>3611</v>
          </cell>
          <cell r="J15">
            <v>8837</v>
          </cell>
          <cell r="K15">
            <v>7561</v>
          </cell>
          <cell r="L15">
            <v>11273</v>
          </cell>
          <cell r="M15">
            <v>8189</v>
          </cell>
          <cell r="N15">
            <v>11518</v>
          </cell>
          <cell r="O15">
            <v>6780</v>
          </cell>
          <cell r="P15">
            <v>5963</v>
          </cell>
          <cell r="T15">
            <v>12</v>
          </cell>
          <cell r="U15" t="str">
            <v xml:space="preserve">Interruptible </v>
          </cell>
          <cell r="W15">
            <v>70654</v>
          </cell>
          <cell r="X15">
            <v>1410</v>
          </cell>
          <cell r="Y15">
            <v>2320</v>
          </cell>
          <cell r="Z15">
            <v>2452</v>
          </cell>
          <cell r="AA15">
            <v>6250</v>
          </cell>
          <cell r="AB15">
            <v>3539</v>
          </cell>
          <cell r="AC15">
            <v>8661</v>
          </cell>
          <cell r="AD15">
            <v>9240</v>
          </cell>
          <cell r="AE15">
            <v>12010</v>
          </cell>
          <cell r="AF15">
            <v>7861</v>
          </cell>
          <cell r="AG15">
            <v>7872</v>
          </cell>
          <cell r="AH15">
            <v>4625</v>
          </cell>
          <cell r="AI15">
            <v>4414</v>
          </cell>
        </row>
        <row r="16">
          <cell r="A16">
            <v>13</v>
          </cell>
          <cell r="B16" t="str">
            <v>Total customers</v>
          </cell>
          <cell r="D16">
            <v>7798108</v>
          </cell>
          <cell r="E16">
            <v>1137886</v>
          </cell>
          <cell r="F16">
            <v>1297196</v>
          </cell>
          <cell r="G16">
            <v>1208199</v>
          </cell>
          <cell r="H16">
            <v>729568</v>
          </cell>
          <cell r="I16">
            <v>408751</v>
          </cell>
          <cell r="J16">
            <v>335264</v>
          </cell>
          <cell r="K16">
            <v>334524</v>
          </cell>
          <cell r="L16">
            <v>309559</v>
          </cell>
          <cell r="M16">
            <v>364391</v>
          </cell>
          <cell r="N16">
            <v>445799</v>
          </cell>
          <cell r="O16">
            <v>493075</v>
          </cell>
          <cell r="P16">
            <v>733896</v>
          </cell>
          <cell r="T16">
            <v>13</v>
          </cell>
          <cell r="U16" t="str">
            <v>Total Deliveries</v>
          </cell>
          <cell r="W16">
            <v>7821832</v>
          </cell>
          <cell r="X16">
            <v>1117845</v>
          </cell>
          <cell r="Y16">
            <v>1225236</v>
          </cell>
          <cell r="Z16">
            <v>1064044</v>
          </cell>
          <cell r="AA16">
            <v>716875</v>
          </cell>
          <cell r="AB16">
            <v>455083</v>
          </cell>
          <cell r="AC16">
            <v>326874</v>
          </cell>
          <cell r="AD16">
            <v>314769</v>
          </cell>
          <cell r="AE16">
            <v>305253</v>
          </cell>
          <cell r="AF16">
            <v>351903</v>
          </cell>
          <cell r="AG16">
            <v>429850</v>
          </cell>
          <cell r="AH16">
            <v>580830</v>
          </cell>
          <cell r="AI16">
            <v>933270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  <cell r="T18">
            <v>15</v>
          </cell>
          <cell r="X18">
            <v>1.0648500000000001</v>
          </cell>
          <cell r="Y18">
            <v>1.05365</v>
          </cell>
          <cell r="Z18">
            <v>1.05331</v>
          </cell>
          <cell r="AA18">
            <v>1.0564499999999999</v>
          </cell>
          <cell r="AB18">
            <v>1.05789</v>
          </cell>
          <cell r="AC18">
            <v>1.05959</v>
          </cell>
          <cell r="AD18">
            <v>1.0670500000000001</v>
          </cell>
          <cell r="AE18">
            <v>1.0666</v>
          </cell>
          <cell r="AF18">
            <v>1.0642199999999999</v>
          </cell>
          <cell r="AG18">
            <v>1.0648599999999999</v>
          </cell>
          <cell r="AH18">
            <v>1.06724</v>
          </cell>
          <cell r="AI18">
            <v>1.06707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2854245</v>
          </cell>
          <cell r="E21">
            <v>541039</v>
          </cell>
          <cell r="F21">
            <v>648595</v>
          </cell>
          <cell r="G21">
            <v>598272</v>
          </cell>
          <cell r="H21">
            <v>296846</v>
          </cell>
          <cell r="I21">
            <v>111622</v>
          </cell>
          <cell r="J21">
            <v>52611</v>
          </cell>
          <cell r="K21">
            <v>46328</v>
          </cell>
          <cell r="L21">
            <v>42568</v>
          </cell>
          <cell r="M21">
            <v>41639</v>
          </cell>
          <cell r="N21">
            <v>75477</v>
          </cell>
          <cell r="O21">
            <v>139464</v>
          </cell>
          <cell r="P21">
            <v>259784</v>
          </cell>
          <cell r="T21">
            <v>18</v>
          </cell>
          <cell r="U21" t="str">
            <v>Residential</v>
          </cell>
          <cell r="W21">
            <v>2857767</v>
          </cell>
          <cell r="X21">
            <v>526590</v>
          </cell>
          <cell r="Y21">
            <v>615051</v>
          </cell>
          <cell r="Z21">
            <v>490923</v>
          </cell>
          <cell r="AA21">
            <v>291734</v>
          </cell>
          <cell r="AB21">
            <v>130566</v>
          </cell>
          <cell r="AC21">
            <v>51771</v>
          </cell>
          <cell r="AD21">
            <v>43745</v>
          </cell>
          <cell r="AE21">
            <v>42122</v>
          </cell>
          <cell r="AF21">
            <v>41109</v>
          </cell>
          <cell r="AG21">
            <v>57534</v>
          </cell>
          <cell r="AH21">
            <v>185767</v>
          </cell>
          <cell r="AI21">
            <v>380855</v>
          </cell>
        </row>
        <row r="22">
          <cell r="A22">
            <v>19</v>
          </cell>
          <cell r="B22" t="str">
            <v>Commercial</v>
          </cell>
          <cell r="D22">
            <v>2308624</v>
          </cell>
          <cell r="E22">
            <v>379463</v>
          </cell>
          <cell r="F22">
            <v>448107</v>
          </cell>
          <cell r="G22">
            <v>389961</v>
          </cell>
          <cell r="H22">
            <v>213505</v>
          </cell>
          <cell r="I22">
            <v>101884</v>
          </cell>
          <cell r="J22">
            <v>80722</v>
          </cell>
          <cell r="K22">
            <v>79537</v>
          </cell>
          <cell r="L22">
            <v>72857</v>
          </cell>
          <cell r="M22">
            <v>76281</v>
          </cell>
          <cell r="N22">
            <v>115010</v>
          </cell>
          <cell r="O22">
            <v>138693</v>
          </cell>
          <cell r="P22">
            <v>212604</v>
          </cell>
          <cell r="T22">
            <v>19</v>
          </cell>
          <cell r="U22" t="str">
            <v>Commercial</v>
          </cell>
          <cell r="W22">
            <v>2443347</v>
          </cell>
          <cell r="X22">
            <v>388499</v>
          </cell>
          <cell r="Y22">
            <v>404997</v>
          </cell>
          <cell r="Z22">
            <v>357014</v>
          </cell>
          <cell r="AA22">
            <v>216833</v>
          </cell>
          <cell r="AB22">
            <v>131554</v>
          </cell>
          <cell r="AC22">
            <v>88078</v>
          </cell>
          <cell r="AD22">
            <v>86139</v>
          </cell>
          <cell r="AE22">
            <v>77979</v>
          </cell>
          <cell r="AF22">
            <v>82098</v>
          </cell>
          <cell r="AG22">
            <v>110490</v>
          </cell>
          <cell r="AH22">
            <v>187329</v>
          </cell>
          <cell r="AI22">
            <v>312337</v>
          </cell>
        </row>
        <row r="23">
          <cell r="A23">
            <v>20</v>
          </cell>
          <cell r="B23" t="str">
            <v xml:space="preserve">Industrial </v>
          </cell>
          <cell r="D23">
            <v>3022249</v>
          </cell>
          <cell r="E23">
            <v>284540</v>
          </cell>
          <cell r="F23">
            <v>281049</v>
          </cell>
          <cell r="G23">
            <v>292648</v>
          </cell>
          <cell r="H23">
            <v>256957</v>
          </cell>
          <cell r="I23">
            <v>215488</v>
          </cell>
          <cell r="J23">
            <v>213668</v>
          </cell>
          <cell r="K23">
            <v>220180</v>
          </cell>
          <cell r="L23">
            <v>199729</v>
          </cell>
          <cell r="M23">
            <v>257898</v>
          </cell>
          <cell r="N23">
            <v>269647</v>
          </cell>
          <cell r="O23">
            <v>234660</v>
          </cell>
          <cell r="P23">
            <v>295785</v>
          </cell>
          <cell r="T23">
            <v>20</v>
          </cell>
          <cell r="U23" t="str">
            <v xml:space="preserve">Industrial </v>
          </cell>
          <cell r="W23">
            <v>2920405</v>
          </cell>
          <cell r="X23">
            <v>273747</v>
          </cell>
          <cell r="Y23">
            <v>268477</v>
          </cell>
          <cell r="Z23">
            <v>270249</v>
          </cell>
          <cell r="AA23">
            <v>242172</v>
          </cell>
          <cell r="AB23">
            <v>215564</v>
          </cell>
          <cell r="AC23">
            <v>197326</v>
          </cell>
          <cell r="AD23">
            <v>196131</v>
          </cell>
          <cell r="AE23">
            <v>192672</v>
          </cell>
          <cell r="AF23">
            <v>242929</v>
          </cell>
          <cell r="AG23">
            <v>281323</v>
          </cell>
          <cell r="AH23">
            <v>241853</v>
          </cell>
          <cell r="AI23">
            <v>297962</v>
          </cell>
        </row>
        <row r="24">
          <cell r="A24">
            <v>21</v>
          </cell>
          <cell r="B24" t="str">
            <v>Other</v>
          </cell>
          <cell r="D24">
            <v>82655</v>
          </cell>
          <cell r="E24">
            <v>3223</v>
          </cell>
          <cell r="F24">
            <v>2997</v>
          </cell>
          <cell r="G24">
            <v>4123</v>
          </cell>
          <cell r="H24">
            <v>4895</v>
          </cell>
          <cell r="I24">
            <v>3824</v>
          </cell>
          <cell r="J24">
            <v>9394</v>
          </cell>
          <cell r="K24">
            <v>8002</v>
          </cell>
          <cell r="L24">
            <v>11910</v>
          </cell>
          <cell r="M24">
            <v>8640</v>
          </cell>
          <cell r="N24">
            <v>12204</v>
          </cell>
          <cell r="O24">
            <v>7150</v>
          </cell>
          <cell r="P24">
            <v>6293</v>
          </cell>
          <cell r="T24">
            <v>21</v>
          </cell>
          <cell r="U24" t="str">
            <v xml:space="preserve">Interruptible </v>
          </cell>
          <cell r="W24">
            <v>75117</v>
          </cell>
          <cell r="X24">
            <v>1501</v>
          </cell>
          <cell r="Y24">
            <v>2444</v>
          </cell>
          <cell r="Z24">
            <v>2583</v>
          </cell>
          <cell r="AA24">
            <v>6603</v>
          </cell>
          <cell r="AB24">
            <v>3744</v>
          </cell>
          <cell r="AC24">
            <v>9177</v>
          </cell>
          <cell r="AD24">
            <v>9860</v>
          </cell>
          <cell r="AE24">
            <v>12810</v>
          </cell>
          <cell r="AF24">
            <v>8366</v>
          </cell>
          <cell r="AG24">
            <v>8383</v>
          </cell>
          <cell r="AH24">
            <v>4936</v>
          </cell>
          <cell r="AI24">
            <v>4710</v>
          </cell>
        </row>
        <row r="25">
          <cell r="A25">
            <v>22</v>
          </cell>
          <cell r="B25" t="str">
            <v>Total Volume</v>
          </cell>
          <cell r="D25">
            <v>8267773</v>
          </cell>
          <cell r="E25">
            <v>1208265</v>
          </cell>
          <cell r="F25">
            <v>1380748</v>
          </cell>
          <cell r="G25">
            <v>1285004</v>
          </cell>
          <cell r="H25">
            <v>772203</v>
          </cell>
          <cell r="I25">
            <v>432818</v>
          </cell>
          <cell r="J25">
            <v>356395</v>
          </cell>
          <cell r="K25">
            <v>354047</v>
          </cell>
          <cell r="L25">
            <v>327064</v>
          </cell>
          <cell r="M25">
            <v>384458</v>
          </cell>
          <cell r="N25">
            <v>472338</v>
          </cell>
          <cell r="O25">
            <v>519967</v>
          </cell>
          <cell r="P25">
            <v>774466</v>
          </cell>
          <cell r="T25">
            <v>22</v>
          </cell>
          <cell r="U25" t="str">
            <v>Total Deliveries</v>
          </cell>
          <cell r="W25">
            <v>8296636</v>
          </cell>
          <cell r="X25">
            <v>1190337</v>
          </cell>
          <cell r="Y25">
            <v>1290969</v>
          </cell>
          <cell r="Z25">
            <v>1120769</v>
          </cell>
          <cell r="AA25">
            <v>757342</v>
          </cell>
          <cell r="AB25">
            <v>481428</v>
          </cell>
          <cell r="AC25">
            <v>346352</v>
          </cell>
          <cell r="AD25">
            <v>335875</v>
          </cell>
          <cell r="AE25">
            <v>325583</v>
          </cell>
          <cell r="AF25">
            <v>374502</v>
          </cell>
          <cell r="AG25">
            <v>457730</v>
          </cell>
          <cell r="AH25">
            <v>619885</v>
          </cell>
          <cell r="AI25">
            <v>995864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45746</v>
          </cell>
          <cell r="F28">
            <v>45893</v>
          </cell>
          <cell r="G28">
            <v>45942</v>
          </cell>
          <cell r="H28">
            <v>45880</v>
          </cell>
          <cell r="I28">
            <v>45658</v>
          </cell>
          <cell r="J28">
            <v>45676</v>
          </cell>
          <cell r="K28">
            <v>45800</v>
          </cell>
          <cell r="L28">
            <v>45794</v>
          </cell>
          <cell r="M28">
            <v>45868</v>
          </cell>
          <cell r="N28">
            <v>46594</v>
          </cell>
          <cell r="O28">
            <v>47075</v>
          </cell>
          <cell r="P28">
            <v>47510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1089682</v>
          </cell>
          <cell r="F29">
            <v>1120618</v>
          </cell>
          <cell r="G29">
            <v>994995</v>
          </cell>
          <cell r="H29">
            <v>736371</v>
          </cell>
          <cell r="I29">
            <v>494063</v>
          </cell>
          <cell r="J29">
            <v>365742</v>
          </cell>
          <cell r="K29">
            <v>349349</v>
          </cell>
          <cell r="L29">
            <v>359560</v>
          </cell>
          <cell r="M29">
            <v>392977</v>
          </cell>
          <cell r="N29">
            <v>446775</v>
          </cell>
          <cell r="O29">
            <v>574494</v>
          </cell>
          <cell r="P29">
            <v>997289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1127820.8699999999</v>
          </cell>
          <cell r="F30">
            <v>1159839.6299999999</v>
          </cell>
          <cell r="G30">
            <v>1029819.825</v>
          </cell>
          <cell r="H30">
            <v>762143.98499999999</v>
          </cell>
          <cell r="I30">
            <v>511355.20499999996</v>
          </cell>
          <cell r="J30">
            <v>378542.97</v>
          </cell>
          <cell r="K30">
            <v>361576.21499999997</v>
          </cell>
          <cell r="L30">
            <v>372144.6</v>
          </cell>
          <cell r="M30">
            <v>406731.19499999995</v>
          </cell>
          <cell r="N30">
            <v>462412.12499999994</v>
          </cell>
          <cell r="O30">
            <v>594601.28999999992</v>
          </cell>
          <cell r="P30">
            <v>1032194.1149999999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43161</v>
          </cell>
          <cell r="F34">
            <v>43252</v>
          </cell>
          <cell r="G34">
            <v>43319</v>
          </cell>
          <cell r="H34">
            <v>43336</v>
          </cell>
          <cell r="I34">
            <v>43277</v>
          </cell>
          <cell r="J34">
            <v>43180</v>
          </cell>
          <cell r="K34">
            <v>43104</v>
          </cell>
          <cell r="L34">
            <v>43052</v>
          </cell>
          <cell r="M34">
            <v>43046</v>
          </cell>
          <cell r="N34">
            <v>43076</v>
          </cell>
          <cell r="O34">
            <v>43170</v>
          </cell>
          <cell r="P34">
            <v>43285</v>
          </cell>
          <cell r="T34">
            <v>31</v>
          </cell>
          <cell r="U34" t="str">
            <v>Residential</v>
          </cell>
          <cell r="X34">
            <v>41387</v>
          </cell>
          <cell r="Y34">
            <v>41462</v>
          </cell>
          <cell r="Z34">
            <v>41539</v>
          </cell>
          <cell r="AA34">
            <v>41571</v>
          </cell>
          <cell r="AB34">
            <v>41481</v>
          </cell>
          <cell r="AC34">
            <v>41408</v>
          </cell>
          <cell r="AD34">
            <v>41330</v>
          </cell>
          <cell r="AE34">
            <v>41272</v>
          </cell>
          <cell r="AF34">
            <v>41254</v>
          </cell>
          <cell r="AG34">
            <v>41269</v>
          </cell>
          <cell r="AH34">
            <v>41344</v>
          </cell>
          <cell r="AI34">
            <v>41465</v>
          </cell>
        </row>
        <row r="35">
          <cell r="A35">
            <v>32</v>
          </cell>
          <cell r="B35" t="str">
            <v>Commercial</v>
          </cell>
          <cell r="E35">
            <v>3783</v>
          </cell>
          <cell r="F35">
            <v>3804</v>
          </cell>
          <cell r="G35">
            <v>3817</v>
          </cell>
          <cell r="H35">
            <v>3815</v>
          </cell>
          <cell r="I35">
            <v>3800</v>
          </cell>
          <cell r="J35">
            <v>3787</v>
          </cell>
          <cell r="K35">
            <v>3777</v>
          </cell>
          <cell r="L35">
            <v>3769</v>
          </cell>
          <cell r="M35">
            <v>3763</v>
          </cell>
          <cell r="N35">
            <v>3759</v>
          </cell>
          <cell r="O35">
            <v>3761</v>
          </cell>
          <cell r="P35">
            <v>3768</v>
          </cell>
          <cell r="T35">
            <v>32</v>
          </cell>
          <cell r="U35" t="str">
            <v>Commercial</v>
          </cell>
          <cell r="X35">
            <v>3693</v>
          </cell>
          <cell r="Y35">
            <v>3711</v>
          </cell>
          <cell r="Z35">
            <v>3719</v>
          </cell>
          <cell r="AA35">
            <v>3720</v>
          </cell>
          <cell r="AB35">
            <v>3708</v>
          </cell>
          <cell r="AC35">
            <v>3693</v>
          </cell>
          <cell r="AD35">
            <v>3680</v>
          </cell>
          <cell r="AE35">
            <v>3669</v>
          </cell>
          <cell r="AF35">
            <v>3660</v>
          </cell>
          <cell r="AG35">
            <v>3654</v>
          </cell>
          <cell r="AH35">
            <v>3655</v>
          </cell>
          <cell r="AI35">
            <v>3663</v>
          </cell>
        </row>
        <row r="36">
          <cell r="A36">
            <v>33</v>
          </cell>
          <cell r="B36" t="str">
            <v xml:space="preserve">Industrial </v>
          </cell>
          <cell r="E36">
            <v>75</v>
          </cell>
          <cell r="F36">
            <v>75</v>
          </cell>
          <cell r="G36">
            <v>75</v>
          </cell>
          <cell r="H36">
            <v>75</v>
          </cell>
          <cell r="I36">
            <v>75</v>
          </cell>
          <cell r="J36">
            <v>75</v>
          </cell>
          <cell r="K36">
            <v>75</v>
          </cell>
          <cell r="L36">
            <v>76</v>
          </cell>
          <cell r="M36">
            <v>76</v>
          </cell>
          <cell r="N36">
            <v>77</v>
          </cell>
          <cell r="O36">
            <v>77</v>
          </cell>
          <cell r="P36">
            <v>77</v>
          </cell>
          <cell r="T36">
            <v>33</v>
          </cell>
          <cell r="U36" t="str">
            <v xml:space="preserve">Industrial </v>
          </cell>
          <cell r="X36">
            <v>70</v>
          </cell>
          <cell r="Y36">
            <v>70</v>
          </cell>
          <cell r="Z36">
            <v>70</v>
          </cell>
          <cell r="AA36">
            <v>70</v>
          </cell>
          <cell r="AB36">
            <v>69</v>
          </cell>
          <cell r="AC36">
            <v>69</v>
          </cell>
          <cell r="AD36">
            <v>69</v>
          </cell>
          <cell r="AE36">
            <v>69</v>
          </cell>
          <cell r="AF36">
            <v>70</v>
          </cell>
          <cell r="AG36">
            <v>70</v>
          </cell>
          <cell r="AH36">
            <v>70</v>
          </cell>
          <cell r="AI36">
            <v>71</v>
          </cell>
        </row>
        <row r="37">
          <cell r="A37">
            <v>34</v>
          </cell>
          <cell r="B37" t="str">
            <v>Other</v>
          </cell>
          <cell r="E37">
            <v>7</v>
          </cell>
          <cell r="F37">
            <v>7</v>
          </cell>
          <cell r="G37">
            <v>6</v>
          </cell>
          <cell r="H37">
            <v>6</v>
          </cell>
          <cell r="I37">
            <v>6</v>
          </cell>
          <cell r="J37">
            <v>6</v>
          </cell>
          <cell r="K37">
            <v>6</v>
          </cell>
          <cell r="L37">
            <v>6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X37">
            <v>7</v>
          </cell>
          <cell r="Y37">
            <v>7</v>
          </cell>
          <cell r="Z37">
            <v>7</v>
          </cell>
          <cell r="AA37">
            <v>7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7</v>
          </cell>
          <cell r="AH37">
            <v>7</v>
          </cell>
          <cell r="AI37">
            <v>7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47026</v>
          </cell>
          <cell r="F38">
            <v>47138</v>
          </cell>
          <cell r="G38">
            <v>47217</v>
          </cell>
          <cell r="H38">
            <v>47232</v>
          </cell>
          <cell r="I38">
            <v>47158</v>
          </cell>
          <cell r="J38">
            <v>47048</v>
          </cell>
          <cell r="K38">
            <v>46962</v>
          </cell>
          <cell r="L38">
            <v>46903</v>
          </cell>
          <cell r="M38">
            <v>46890</v>
          </cell>
          <cell r="N38">
            <v>46917</v>
          </cell>
          <cell r="O38">
            <v>47013</v>
          </cell>
          <cell r="P38">
            <v>47135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45157</v>
          </cell>
          <cell r="Y38">
            <v>45250</v>
          </cell>
          <cell r="Z38">
            <v>45335</v>
          </cell>
          <cell r="AA38">
            <v>45368</v>
          </cell>
          <cell r="AB38">
            <v>45265</v>
          </cell>
          <cell r="AC38">
            <v>45177</v>
          </cell>
          <cell r="AD38">
            <v>45086</v>
          </cell>
          <cell r="AE38">
            <v>45017</v>
          </cell>
          <cell r="AF38">
            <v>44991</v>
          </cell>
          <cell r="AG38">
            <v>45000</v>
          </cell>
          <cell r="AH38">
            <v>45076</v>
          </cell>
          <cell r="AI38">
            <v>45206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509525</v>
          </cell>
          <cell r="F41">
            <v>1118872</v>
          </cell>
          <cell r="G41">
            <v>1681385</v>
          </cell>
          <cell r="H41">
            <v>1961841</v>
          </cell>
          <cell r="I41">
            <v>2067256</v>
          </cell>
          <cell r="J41">
            <v>2116748</v>
          </cell>
          <cell r="K41">
            <v>2160521</v>
          </cell>
          <cell r="L41">
            <v>2200811</v>
          </cell>
          <cell r="M41">
            <v>2240277</v>
          </cell>
          <cell r="N41">
            <v>2311513</v>
          </cell>
          <cell r="O41">
            <v>2443764</v>
          </cell>
          <cell r="P41">
            <v>2689939</v>
          </cell>
          <cell r="T41">
            <v>38</v>
          </cell>
          <cell r="U41" t="str">
            <v>Residential</v>
          </cell>
          <cell r="X41">
            <v>494520</v>
          </cell>
          <cell r="Y41">
            <v>1078254</v>
          </cell>
          <cell r="Z41">
            <v>1544330</v>
          </cell>
          <cell r="AA41">
            <v>1820476</v>
          </cell>
          <cell r="AB41">
            <v>1943897</v>
          </cell>
          <cell r="AC41">
            <v>1992756</v>
          </cell>
          <cell r="AD41">
            <v>2033752</v>
          </cell>
          <cell r="AE41">
            <v>2073244</v>
          </cell>
          <cell r="AF41">
            <v>2111872</v>
          </cell>
          <cell r="AG41">
            <v>2165902</v>
          </cell>
          <cell r="AH41">
            <v>2339965</v>
          </cell>
          <cell r="AI41">
            <v>2696882</v>
          </cell>
        </row>
        <row r="42">
          <cell r="A42">
            <v>39</v>
          </cell>
          <cell r="B42" t="str">
            <v>Commercial</v>
          </cell>
          <cell r="E42">
            <v>357360</v>
          </cell>
          <cell r="F42">
            <v>778351</v>
          </cell>
          <cell r="G42">
            <v>1145004</v>
          </cell>
          <cell r="H42">
            <v>1346721</v>
          </cell>
          <cell r="I42">
            <v>1442940</v>
          </cell>
          <cell r="J42">
            <v>1518876</v>
          </cell>
          <cell r="K42">
            <v>1594027</v>
          </cell>
          <cell r="L42">
            <v>1662984</v>
          </cell>
          <cell r="M42">
            <v>1735283</v>
          </cell>
          <cell r="N42">
            <v>1843831</v>
          </cell>
          <cell r="O42">
            <v>1975351</v>
          </cell>
          <cell r="P42">
            <v>2176818</v>
          </cell>
          <cell r="T42">
            <v>39</v>
          </cell>
          <cell r="U42" t="str">
            <v>Commercial</v>
          </cell>
          <cell r="X42">
            <v>364839</v>
          </cell>
          <cell r="Y42">
            <v>749214</v>
          </cell>
          <cell r="Z42">
            <v>1088159</v>
          </cell>
          <cell r="AA42">
            <v>1293406</v>
          </cell>
          <cell r="AB42">
            <v>1417761</v>
          </cell>
          <cell r="AC42">
            <v>1500886</v>
          </cell>
          <cell r="AD42">
            <v>1581612</v>
          </cell>
          <cell r="AE42">
            <v>1654722</v>
          </cell>
          <cell r="AF42">
            <v>1731866</v>
          </cell>
          <cell r="AG42">
            <v>1835626</v>
          </cell>
          <cell r="AH42">
            <v>2011153</v>
          </cell>
          <cell r="AI42">
            <v>2303858</v>
          </cell>
        </row>
        <row r="43">
          <cell r="A43">
            <v>40</v>
          </cell>
          <cell r="B43" t="str">
            <v xml:space="preserve">Industrial </v>
          </cell>
          <cell r="E43">
            <v>267966</v>
          </cell>
          <cell r="F43">
            <v>532008</v>
          </cell>
          <cell r="G43">
            <v>807164</v>
          </cell>
          <cell r="H43">
            <v>1049934</v>
          </cell>
          <cell r="I43">
            <v>1253440</v>
          </cell>
          <cell r="J43">
            <v>1454439</v>
          </cell>
          <cell r="K43">
            <v>1662478</v>
          </cell>
          <cell r="L43">
            <v>1851517</v>
          </cell>
          <cell r="M43">
            <v>2095954</v>
          </cell>
          <cell r="N43">
            <v>2350451</v>
          </cell>
          <cell r="O43">
            <v>2572975</v>
          </cell>
          <cell r="P43">
            <v>2853266</v>
          </cell>
          <cell r="T43">
            <v>40</v>
          </cell>
          <cell r="U43" t="str">
            <v xml:space="preserve">Industrial </v>
          </cell>
          <cell r="X43">
            <v>257076</v>
          </cell>
          <cell r="Y43">
            <v>511883</v>
          </cell>
          <cell r="Z43">
            <v>768454</v>
          </cell>
          <cell r="AA43">
            <v>997686</v>
          </cell>
          <cell r="AB43">
            <v>1201454</v>
          </cell>
          <cell r="AC43">
            <v>1387683</v>
          </cell>
          <cell r="AD43">
            <v>1571490</v>
          </cell>
          <cell r="AE43">
            <v>1752131</v>
          </cell>
          <cell r="AF43">
            <v>1980401</v>
          </cell>
          <cell r="AG43">
            <v>2244589</v>
          </cell>
          <cell r="AH43">
            <v>2471204</v>
          </cell>
          <cell r="AI43">
            <v>2750438</v>
          </cell>
        </row>
        <row r="44">
          <cell r="A44">
            <v>41</v>
          </cell>
          <cell r="B44" t="str">
            <v>Other</v>
          </cell>
          <cell r="E44">
            <v>3035</v>
          </cell>
          <cell r="F44">
            <v>5851</v>
          </cell>
          <cell r="G44">
            <v>9728</v>
          </cell>
          <cell r="H44">
            <v>14353</v>
          </cell>
          <cell r="I44">
            <v>17964</v>
          </cell>
          <cell r="J44">
            <v>26801</v>
          </cell>
          <cell r="K44">
            <v>34362</v>
          </cell>
          <cell r="L44">
            <v>45635</v>
          </cell>
          <cell r="M44">
            <v>53824</v>
          </cell>
          <cell r="N44">
            <v>65342</v>
          </cell>
          <cell r="O44">
            <v>72122</v>
          </cell>
          <cell r="P44">
            <v>78085</v>
          </cell>
          <cell r="T44">
            <v>41</v>
          </cell>
          <cell r="U44" t="str">
            <v>Other</v>
          </cell>
          <cell r="X44">
            <v>1410</v>
          </cell>
          <cell r="Y44">
            <v>3730</v>
          </cell>
          <cell r="Z44">
            <v>6182</v>
          </cell>
          <cell r="AA44">
            <v>12432</v>
          </cell>
          <cell r="AB44">
            <v>15971</v>
          </cell>
          <cell r="AC44">
            <v>24632</v>
          </cell>
          <cell r="AD44">
            <v>33872</v>
          </cell>
          <cell r="AE44">
            <v>45882</v>
          </cell>
          <cell r="AF44">
            <v>53743</v>
          </cell>
          <cell r="AG44">
            <v>61615</v>
          </cell>
          <cell r="AH44">
            <v>66240</v>
          </cell>
          <cell r="AI44">
            <v>70654</v>
          </cell>
        </row>
        <row r="45">
          <cell r="A45">
            <v>42</v>
          </cell>
          <cell r="B45" t="str">
            <v>Total customers</v>
          </cell>
          <cell r="E45">
            <v>1137886</v>
          </cell>
          <cell r="F45">
            <v>2435082</v>
          </cell>
          <cell r="G45">
            <v>3643281</v>
          </cell>
          <cell r="H45">
            <v>4372849</v>
          </cell>
          <cell r="I45">
            <v>4781600</v>
          </cell>
          <cell r="J45">
            <v>5116864</v>
          </cell>
          <cell r="K45">
            <v>5451388</v>
          </cell>
          <cell r="L45">
            <v>5760947</v>
          </cell>
          <cell r="M45">
            <v>6125338</v>
          </cell>
          <cell r="N45">
            <v>6571137</v>
          </cell>
          <cell r="O45">
            <v>7064212</v>
          </cell>
          <cell r="P45">
            <v>7798108</v>
          </cell>
          <cell r="T45">
            <v>42</v>
          </cell>
          <cell r="U45" t="str">
            <v>Total customers</v>
          </cell>
          <cell r="X45">
            <v>1117845</v>
          </cell>
          <cell r="Y45">
            <v>2343081</v>
          </cell>
          <cell r="Z45">
            <v>3407125</v>
          </cell>
          <cell r="AA45">
            <v>4124000</v>
          </cell>
          <cell r="AB45">
            <v>4579083</v>
          </cell>
          <cell r="AC45">
            <v>4905957</v>
          </cell>
          <cell r="AD45">
            <v>5220726</v>
          </cell>
          <cell r="AE45">
            <v>5525979</v>
          </cell>
          <cell r="AF45">
            <v>5877882</v>
          </cell>
          <cell r="AG45">
            <v>6307732</v>
          </cell>
          <cell r="AH45">
            <v>6888562</v>
          </cell>
          <cell r="AI45">
            <v>7821832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541039</v>
          </cell>
          <cell r="F48">
            <v>1189634</v>
          </cell>
          <cell r="G48">
            <v>1787906</v>
          </cell>
          <cell r="H48">
            <v>2084752</v>
          </cell>
          <cell r="I48">
            <v>2196374</v>
          </cell>
          <cell r="J48">
            <v>2248985</v>
          </cell>
          <cell r="K48">
            <v>2295313</v>
          </cell>
          <cell r="L48">
            <v>2337881</v>
          </cell>
          <cell r="M48">
            <v>2379520</v>
          </cell>
          <cell r="N48">
            <v>2454997</v>
          </cell>
          <cell r="O48">
            <v>2594461</v>
          </cell>
          <cell r="P48">
            <v>2854245</v>
          </cell>
          <cell r="T48">
            <v>45</v>
          </cell>
          <cell r="U48" t="str">
            <v>Residential</v>
          </cell>
          <cell r="X48">
            <v>526590</v>
          </cell>
          <cell r="Y48">
            <v>1141641</v>
          </cell>
          <cell r="Z48">
            <v>1632564</v>
          </cell>
          <cell r="AA48">
            <v>1924298</v>
          </cell>
          <cell r="AB48">
            <v>2054864</v>
          </cell>
          <cell r="AC48">
            <v>2106635</v>
          </cell>
          <cell r="AD48">
            <v>2150380</v>
          </cell>
          <cell r="AE48">
            <v>2192502</v>
          </cell>
          <cell r="AF48">
            <v>2233611</v>
          </cell>
          <cell r="AG48">
            <v>2291145</v>
          </cell>
          <cell r="AH48">
            <v>2476912</v>
          </cell>
          <cell r="AI48">
            <v>2857767</v>
          </cell>
        </row>
        <row r="49">
          <cell r="A49">
            <v>46</v>
          </cell>
          <cell r="B49" t="str">
            <v>Commercial</v>
          </cell>
          <cell r="E49">
            <v>379463</v>
          </cell>
          <cell r="F49">
            <v>827570</v>
          </cell>
          <cell r="G49">
            <v>1217531</v>
          </cell>
          <cell r="H49">
            <v>1431036</v>
          </cell>
          <cell r="I49">
            <v>1532920</v>
          </cell>
          <cell r="J49">
            <v>1613642</v>
          </cell>
          <cell r="K49">
            <v>1693179</v>
          </cell>
          <cell r="L49">
            <v>1766036</v>
          </cell>
          <cell r="M49">
            <v>1842317</v>
          </cell>
          <cell r="N49">
            <v>1957327</v>
          </cell>
          <cell r="O49">
            <v>2096020</v>
          </cell>
          <cell r="P49">
            <v>2308624</v>
          </cell>
          <cell r="T49">
            <v>46</v>
          </cell>
          <cell r="U49" t="str">
            <v>Commercial</v>
          </cell>
          <cell r="X49">
            <v>388499</v>
          </cell>
          <cell r="Y49">
            <v>793496</v>
          </cell>
          <cell r="Z49">
            <v>1150510</v>
          </cell>
          <cell r="AA49">
            <v>1367343</v>
          </cell>
          <cell r="AB49">
            <v>1498897</v>
          </cell>
          <cell r="AC49">
            <v>1586975</v>
          </cell>
          <cell r="AD49">
            <v>1673114</v>
          </cell>
          <cell r="AE49">
            <v>1751093</v>
          </cell>
          <cell r="AF49">
            <v>1833191</v>
          </cell>
          <cell r="AG49">
            <v>1943681</v>
          </cell>
          <cell r="AH49">
            <v>2131010</v>
          </cell>
          <cell r="AI49">
            <v>2443347</v>
          </cell>
        </row>
        <row r="50">
          <cell r="A50">
            <v>47</v>
          </cell>
          <cell r="B50" t="str">
            <v xml:space="preserve">Industrial </v>
          </cell>
          <cell r="E50">
            <v>284540</v>
          </cell>
          <cell r="F50">
            <v>565589</v>
          </cell>
          <cell r="G50">
            <v>858237</v>
          </cell>
          <cell r="H50">
            <v>1115194</v>
          </cell>
          <cell r="I50">
            <v>1330682</v>
          </cell>
          <cell r="J50">
            <v>1544350</v>
          </cell>
          <cell r="K50">
            <v>1764530</v>
          </cell>
          <cell r="L50">
            <v>1964259</v>
          </cell>
          <cell r="M50">
            <v>2222157</v>
          </cell>
          <cell r="N50">
            <v>2491804</v>
          </cell>
          <cell r="O50">
            <v>2726464</v>
          </cell>
          <cell r="P50">
            <v>3022249</v>
          </cell>
          <cell r="T50">
            <v>47</v>
          </cell>
          <cell r="U50" t="str">
            <v xml:space="preserve">Industrial </v>
          </cell>
          <cell r="X50">
            <v>273747</v>
          </cell>
          <cell r="Y50">
            <v>542224</v>
          </cell>
          <cell r="Z50">
            <v>812473</v>
          </cell>
          <cell r="AA50">
            <v>1054645</v>
          </cell>
          <cell r="AB50">
            <v>1270209</v>
          </cell>
          <cell r="AC50">
            <v>1467535</v>
          </cell>
          <cell r="AD50">
            <v>1663666</v>
          </cell>
          <cell r="AE50">
            <v>1856338</v>
          </cell>
          <cell r="AF50">
            <v>2099267</v>
          </cell>
          <cell r="AG50">
            <v>2380590</v>
          </cell>
          <cell r="AH50">
            <v>2622443</v>
          </cell>
          <cell r="AI50">
            <v>2920405</v>
          </cell>
        </row>
        <row r="51">
          <cell r="A51">
            <v>48</v>
          </cell>
          <cell r="B51" t="str">
            <v>Other</v>
          </cell>
          <cell r="E51">
            <v>3223</v>
          </cell>
          <cell r="F51">
            <v>6220</v>
          </cell>
          <cell r="G51">
            <v>10343</v>
          </cell>
          <cell r="H51">
            <v>15238</v>
          </cell>
          <cell r="I51">
            <v>19062</v>
          </cell>
          <cell r="J51">
            <v>28456</v>
          </cell>
          <cell r="K51">
            <v>36458</v>
          </cell>
          <cell r="L51">
            <v>48368</v>
          </cell>
          <cell r="M51">
            <v>57008</v>
          </cell>
          <cell r="N51">
            <v>69212</v>
          </cell>
          <cell r="O51">
            <v>76362</v>
          </cell>
          <cell r="P51">
            <v>82655</v>
          </cell>
          <cell r="T51">
            <v>48</v>
          </cell>
          <cell r="U51" t="str">
            <v>Other</v>
          </cell>
          <cell r="X51">
            <v>1501</v>
          </cell>
          <cell r="Y51">
            <v>3945</v>
          </cell>
          <cell r="Z51">
            <v>6528</v>
          </cell>
          <cell r="AA51">
            <v>13131</v>
          </cell>
          <cell r="AB51">
            <v>16875</v>
          </cell>
          <cell r="AC51">
            <v>26052</v>
          </cell>
          <cell r="AD51">
            <v>35912</v>
          </cell>
          <cell r="AE51">
            <v>48722</v>
          </cell>
          <cell r="AF51">
            <v>57088</v>
          </cell>
          <cell r="AG51">
            <v>65471</v>
          </cell>
          <cell r="AH51">
            <v>70407</v>
          </cell>
          <cell r="AI51">
            <v>75117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1208265</v>
          </cell>
          <cell r="F52">
            <v>2589013</v>
          </cell>
          <cell r="G52">
            <v>3874017</v>
          </cell>
          <cell r="H52">
            <v>4646220</v>
          </cell>
          <cell r="I52">
            <v>5079038</v>
          </cell>
          <cell r="J52">
            <v>5435433</v>
          </cell>
          <cell r="K52">
            <v>5789480</v>
          </cell>
          <cell r="L52">
            <v>6116544</v>
          </cell>
          <cell r="M52">
            <v>6501002</v>
          </cell>
          <cell r="N52">
            <v>6973340</v>
          </cell>
          <cell r="O52">
            <v>7493307</v>
          </cell>
          <cell r="P52">
            <v>8267773</v>
          </cell>
          <cell r="T52">
            <v>49</v>
          </cell>
          <cell r="U52" t="str">
            <v>Total Volume</v>
          </cell>
          <cell r="W52">
            <v>0</v>
          </cell>
          <cell r="X52">
            <v>1190337</v>
          </cell>
          <cell r="Y52">
            <v>2481306</v>
          </cell>
          <cell r="Z52">
            <v>3602075</v>
          </cell>
          <cell r="AA52">
            <v>4359417</v>
          </cell>
          <cell r="AB52">
            <v>4840845</v>
          </cell>
          <cell r="AC52">
            <v>5187197</v>
          </cell>
          <cell r="AD52">
            <v>5523072</v>
          </cell>
          <cell r="AE52">
            <v>5848655</v>
          </cell>
          <cell r="AF52">
            <v>6223157</v>
          </cell>
          <cell r="AG52">
            <v>6680887</v>
          </cell>
          <cell r="AH52">
            <v>7300772</v>
          </cell>
          <cell r="AI52">
            <v>8296636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45746</v>
          </cell>
          <cell r="F55">
            <v>45820</v>
          </cell>
          <cell r="G55">
            <v>45860</v>
          </cell>
          <cell r="H55">
            <v>45865</v>
          </cell>
          <cell r="I55">
            <v>45824</v>
          </cell>
          <cell r="J55">
            <v>45799</v>
          </cell>
          <cell r="K55">
            <v>45799</v>
          </cell>
          <cell r="L55">
            <v>45799</v>
          </cell>
          <cell r="M55">
            <v>45806</v>
          </cell>
          <cell r="N55">
            <v>45885</v>
          </cell>
          <cell r="O55">
            <v>45993</v>
          </cell>
          <cell r="P55">
            <v>46120</v>
          </cell>
        </row>
        <row r="56">
          <cell r="A56">
            <v>53</v>
          </cell>
          <cell r="B56" t="str">
            <v>Cumulative Budget YTD Volume (Mcfs)</v>
          </cell>
          <cell r="E56">
            <v>1089682</v>
          </cell>
          <cell r="F56">
            <v>2210300</v>
          </cell>
          <cell r="G56">
            <v>3205295</v>
          </cell>
          <cell r="H56">
            <v>3941666</v>
          </cell>
          <cell r="I56">
            <v>4435729</v>
          </cell>
          <cell r="J56">
            <v>4801471</v>
          </cell>
          <cell r="K56">
            <v>5150820</v>
          </cell>
          <cell r="L56">
            <v>5510380</v>
          </cell>
          <cell r="M56">
            <v>5903357</v>
          </cell>
          <cell r="N56">
            <v>6350132</v>
          </cell>
          <cell r="O56">
            <v>6924626</v>
          </cell>
          <cell r="P56">
            <v>7921915</v>
          </cell>
        </row>
        <row r="57">
          <cell r="A57">
            <v>54</v>
          </cell>
          <cell r="B57" t="str">
            <v>Cumulative YTD Budget Volume (Dts) * 1.035</v>
          </cell>
          <cell r="E57">
            <v>1127820.8699999999</v>
          </cell>
          <cell r="F57">
            <v>2287660.5</v>
          </cell>
          <cell r="G57">
            <v>3317480.3250000002</v>
          </cell>
          <cell r="H57">
            <v>4079624.31</v>
          </cell>
          <cell r="I57">
            <v>4590979.5149999997</v>
          </cell>
          <cell r="J57">
            <v>4969522.4849999994</v>
          </cell>
          <cell r="K57">
            <v>5331098.6999999993</v>
          </cell>
          <cell r="L57">
            <v>5703243.2999999989</v>
          </cell>
          <cell r="M57">
            <v>6109974.4949999992</v>
          </cell>
          <cell r="N57">
            <v>6572386.6199999992</v>
          </cell>
          <cell r="O57">
            <v>7166987.9099999992</v>
          </cell>
          <cell r="P57">
            <v>8199182.0249999994</v>
          </cell>
        </row>
      </sheetData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10967.166666666666</v>
          </cell>
          <cell r="E5">
            <v>11265</v>
          </cell>
          <cell r="F5">
            <v>11343</v>
          </cell>
          <cell r="G5">
            <v>11374</v>
          </cell>
          <cell r="H5">
            <v>11276</v>
          </cell>
          <cell r="I5">
            <v>10955</v>
          </cell>
          <cell r="J5">
            <v>10729</v>
          </cell>
          <cell r="K5">
            <v>10634</v>
          </cell>
          <cell r="L5">
            <v>10607</v>
          </cell>
          <cell r="M5">
            <v>10637</v>
          </cell>
          <cell r="N5">
            <v>10711</v>
          </cell>
          <cell r="O5">
            <v>10957</v>
          </cell>
          <cell r="P5">
            <v>11118</v>
          </cell>
          <cell r="T5">
            <v>2</v>
          </cell>
          <cell r="U5" t="str">
            <v>Residential</v>
          </cell>
          <cell r="V5">
            <v>10933</v>
          </cell>
          <cell r="W5">
            <v>131199</v>
          </cell>
          <cell r="X5">
            <v>11220</v>
          </cell>
          <cell r="Y5">
            <v>11298</v>
          </cell>
          <cell r="Z5">
            <v>11331</v>
          </cell>
          <cell r="AA5">
            <v>11233</v>
          </cell>
          <cell r="AB5">
            <v>10980</v>
          </cell>
          <cell r="AC5">
            <v>10695</v>
          </cell>
          <cell r="AD5">
            <v>10609</v>
          </cell>
          <cell r="AE5">
            <v>10569</v>
          </cell>
          <cell r="AF5">
            <v>10609</v>
          </cell>
          <cell r="AG5">
            <v>10626</v>
          </cell>
          <cell r="AH5">
            <v>10844</v>
          </cell>
          <cell r="AI5">
            <v>11185</v>
          </cell>
        </row>
        <row r="6">
          <cell r="A6">
            <v>3</v>
          </cell>
          <cell r="B6" t="str">
            <v>Commercial</v>
          </cell>
          <cell r="D6">
            <v>1799.9166666666667</v>
          </cell>
          <cell r="E6">
            <v>1834</v>
          </cell>
          <cell r="F6">
            <v>1844</v>
          </cell>
          <cell r="G6">
            <v>1844</v>
          </cell>
          <cell r="H6">
            <v>1830</v>
          </cell>
          <cell r="I6">
            <v>1795</v>
          </cell>
          <cell r="J6">
            <v>1772</v>
          </cell>
          <cell r="K6">
            <v>1761</v>
          </cell>
          <cell r="L6">
            <v>1758</v>
          </cell>
          <cell r="M6">
            <v>1764</v>
          </cell>
          <cell r="N6">
            <v>1769</v>
          </cell>
          <cell r="O6">
            <v>1798</v>
          </cell>
          <cell r="P6">
            <v>1830</v>
          </cell>
          <cell r="T6">
            <v>3</v>
          </cell>
          <cell r="U6" t="str">
            <v>Commercial</v>
          </cell>
          <cell r="V6">
            <v>1786</v>
          </cell>
          <cell r="W6">
            <v>21435</v>
          </cell>
          <cell r="X6">
            <v>1818</v>
          </cell>
          <cell r="Y6">
            <v>1822</v>
          </cell>
          <cell r="Z6">
            <v>1823</v>
          </cell>
          <cell r="AA6">
            <v>1812</v>
          </cell>
          <cell r="AB6">
            <v>1789</v>
          </cell>
          <cell r="AC6">
            <v>1757</v>
          </cell>
          <cell r="AD6">
            <v>1753</v>
          </cell>
          <cell r="AE6">
            <v>1746</v>
          </cell>
          <cell r="AF6">
            <v>1747</v>
          </cell>
          <cell r="AG6">
            <v>1749</v>
          </cell>
          <cell r="AH6">
            <v>1787</v>
          </cell>
          <cell r="AI6">
            <v>1832</v>
          </cell>
        </row>
        <row r="7">
          <cell r="A7">
            <v>4</v>
          </cell>
          <cell r="B7" t="str">
            <v xml:space="preserve">Industrial </v>
          </cell>
          <cell r="D7">
            <v>37.083333333333336</v>
          </cell>
          <cell r="E7">
            <v>37</v>
          </cell>
          <cell r="F7">
            <v>37</v>
          </cell>
          <cell r="G7">
            <v>37</v>
          </cell>
          <cell r="H7">
            <v>37</v>
          </cell>
          <cell r="I7">
            <v>37</v>
          </cell>
          <cell r="J7">
            <v>37</v>
          </cell>
          <cell r="K7">
            <v>37</v>
          </cell>
          <cell r="L7">
            <v>37</v>
          </cell>
          <cell r="M7">
            <v>37</v>
          </cell>
          <cell r="N7">
            <v>37</v>
          </cell>
          <cell r="O7">
            <v>37</v>
          </cell>
          <cell r="P7">
            <v>38</v>
          </cell>
          <cell r="T7">
            <v>4</v>
          </cell>
          <cell r="U7" t="str">
            <v xml:space="preserve">Industrial </v>
          </cell>
          <cell r="V7">
            <v>36</v>
          </cell>
          <cell r="W7">
            <v>427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37</v>
          </cell>
          <cell r="AG7">
            <v>37</v>
          </cell>
          <cell r="AH7">
            <v>37</v>
          </cell>
          <cell r="AI7">
            <v>36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12804.166666666666</v>
          </cell>
          <cell r="E9">
            <v>13136</v>
          </cell>
          <cell r="F9">
            <v>13224</v>
          </cell>
          <cell r="G9">
            <v>13255</v>
          </cell>
          <cell r="H9">
            <v>13143</v>
          </cell>
          <cell r="I9">
            <v>12787</v>
          </cell>
          <cell r="J9">
            <v>12538</v>
          </cell>
          <cell r="K9">
            <v>12432</v>
          </cell>
          <cell r="L9">
            <v>12402</v>
          </cell>
          <cell r="M9">
            <v>12438</v>
          </cell>
          <cell r="N9">
            <v>12517</v>
          </cell>
          <cell r="O9">
            <v>12792</v>
          </cell>
          <cell r="P9">
            <v>12986</v>
          </cell>
          <cell r="T9">
            <v>6</v>
          </cell>
          <cell r="U9" t="str">
            <v>Total customers</v>
          </cell>
          <cell r="V9">
            <v>12755</v>
          </cell>
          <cell r="W9">
            <v>153061</v>
          </cell>
          <cell r="X9">
            <v>13073</v>
          </cell>
          <cell r="Y9">
            <v>13155</v>
          </cell>
          <cell r="Z9">
            <v>13189</v>
          </cell>
          <cell r="AA9">
            <v>13080</v>
          </cell>
          <cell r="AB9">
            <v>12804</v>
          </cell>
          <cell r="AC9">
            <v>12487</v>
          </cell>
          <cell r="AD9">
            <v>12397</v>
          </cell>
          <cell r="AE9">
            <v>12350</v>
          </cell>
          <cell r="AF9">
            <v>12393</v>
          </cell>
          <cell r="AG9">
            <v>12412</v>
          </cell>
          <cell r="AH9">
            <v>12668</v>
          </cell>
          <cell r="AI9">
            <v>13053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- 2015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560347</v>
          </cell>
          <cell r="E12">
            <v>101939</v>
          </cell>
          <cell r="F12">
            <v>122779</v>
          </cell>
          <cell r="G12">
            <v>123834</v>
          </cell>
          <cell r="H12">
            <v>62557</v>
          </cell>
          <cell r="I12">
            <v>23816</v>
          </cell>
          <cell r="J12">
            <v>10926</v>
          </cell>
          <cell r="K12">
            <v>9217</v>
          </cell>
          <cell r="L12">
            <v>8543</v>
          </cell>
          <cell r="M12">
            <v>8551</v>
          </cell>
          <cell r="N12">
            <v>14099</v>
          </cell>
          <cell r="O12">
            <v>28654</v>
          </cell>
          <cell r="P12">
            <v>45432</v>
          </cell>
          <cell r="T12">
            <v>9</v>
          </cell>
          <cell r="U12" t="str">
            <v>Residential</v>
          </cell>
          <cell r="W12">
            <v>563905</v>
          </cell>
          <cell r="X12">
            <v>100180</v>
          </cell>
          <cell r="Y12">
            <v>127855</v>
          </cell>
          <cell r="Z12">
            <v>101744</v>
          </cell>
          <cell r="AA12">
            <v>57904</v>
          </cell>
          <cell r="AB12">
            <v>24576</v>
          </cell>
          <cell r="AC12">
            <v>11068</v>
          </cell>
          <cell r="AD12">
            <v>8949</v>
          </cell>
          <cell r="AE12">
            <v>8169</v>
          </cell>
          <cell r="AF12">
            <v>9583</v>
          </cell>
          <cell r="AG12">
            <v>11236</v>
          </cell>
          <cell r="AH12">
            <v>31544</v>
          </cell>
          <cell r="AI12">
            <v>71097</v>
          </cell>
        </row>
        <row r="13">
          <cell r="A13">
            <v>10</v>
          </cell>
          <cell r="B13" t="str">
            <v>Commercial</v>
          </cell>
          <cell r="C13">
            <v>861998</v>
          </cell>
          <cell r="E13">
            <v>130027</v>
          </cell>
          <cell r="F13">
            <v>154728</v>
          </cell>
          <cell r="G13">
            <v>140770</v>
          </cell>
          <cell r="H13">
            <v>85391</v>
          </cell>
          <cell r="I13">
            <v>45510</v>
          </cell>
          <cell r="J13">
            <v>33968</v>
          </cell>
          <cell r="K13">
            <v>32774</v>
          </cell>
          <cell r="L13">
            <v>30588</v>
          </cell>
          <cell r="M13">
            <v>33261</v>
          </cell>
          <cell r="N13">
            <v>47261</v>
          </cell>
          <cell r="O13">
            <v>53996</v>
          </cell>
          <cell r="P13">
            <v>73724</v>
          </cell>
          <cell r="T13">
            <v>10</v>
          </cell>
          <cell r="U13" t="str">
            <v>Commercial</v>
          </cell>
          <cell r="W13">
            <v>869825</v>
          </cell>
          <cell r="X13">
            <v>129500</v>
          </cell>
          <cell r="Y13">
            <v>144959</v>
          </cell>
          <cell r="Z13">
            <v>127695</v>
          </cell>
          <cell r="AA13">
            <v>78637</v>
          </cell>
          <cell r="AB13">
            <v>48575</v>
          </cell>
          <cell r="AC13">
            <v>34129</v>
          </cell>
          <cell r="AD13">
            <v>33106</v>
          </cell>
          <cell r="AE13">
            <v>30981</v>
          </cell>
          <cell r="AF13">
            <v>34964</v>
          </cell>
          <cell r="AG13">
            <v>42033</v>
          </cell>
          <cell r="AH13">
            <v>62710</v>
          </cell>
          <cell r="AI13">
            <v>102536</v>
          </cell>
        </row>
        <row r="14">
          <cell r="A14">
            <v>11</v>
          </cell>
          <cell r="B14" t="str">
            <v xml:space="preserve">Industrial </v>
          </cell>
          <cell r="C14">
            <v>1431238</v>
          </cell>
          <cell r="E14">
            <v>124081</v>
          </cell>
          <cell r="F14">
            <v>123031</v>
          </cell>
          <cell r="G14">
            <v>126676</v>
          </cell>
          <cell r="H14">
            <v>120032</v>
          </cell>
          <cell r="I14">
            <v>103514</v>
          </cell>
          <cell r="J14">
            <v>107589</v>
          </cell>
          <cell r="K14">
            <v>99065</v>
          </cell>
          <cell r="L14">
            <v>101942</v>
          </cell>
          <cell r="M14">
            <v>122856</v>
          </cell>
          <cell r="N14">
            <v>134763</v>
          </cell>
          <cell r="O14">
            <v>123983</v>
          </cell>
          <cell r="P14">
            <v>143706</v>
          </cell>
          <cell r="T14">
            <v>11</v>
          </cell>
          <cell r="U14" t="str">
            <v xml:space="preserve">Industrial </v>
          </cell>
          <cell r="W14">
            <v>1374405</v>
          </cell>
          <cell r="X14">
            <v>113534</v>
          </cell>
          <cell r="Y14">
            <v>116424</v>
          </cell>
          <cell r="Z14">
            <v>111908</v>
          </cell>
          <cell r="AA14">
            <v>107383</v>
          </cell>
          <cell r="AB14">
            <v>106482</v>
          </cell>
          <cell r="AC14">
            <v>95609</v>
          </cell>
          <cell r="AD14">
            <v>103661</v>
          </cell>
          <cell r="AE14">
            <v>95621</v>
          </cell>
          <cell r="AF14">
            <v>116124</v>
          </cell>
          <cell r="AG14">
            <v>136785</v>
          </cell>
          <cell r="AH14">
            <v>126559</v>
          </cell>
          <cell r="AI14">
            <v>144315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C16">
            <v>2853583</v>
          </cell>
          <cell r="E16">
            <v>356047</v>
          </cell>
          <cell r="F16">
            <v>400538</v>
          </cell>
          <cell r="G16">
            <v>391280</v>
          </cell>
          <cell r="H16">
            <v>267980</v>
          </cell>
          <cell r="I16">
            <v>172840</v>
          </cell>
          <cell r="J16">
            <v>152483</v>
          </cell>
          <cell r="K16">
            <v>141056</v>
          </cell>
          <cell r="L16">
            <v>141073</v>
          </cell>
          <cell r="M16">
            <v>164668</v>
          </cell>
          <cell r="N16">
            <v>196123</v>
          </cell>
          <cell r="O16">
            <v>206633</v>
          </cell>
          <cell r="P16">
            <v>262862</v>
          </cell>
          <cell r="T16">
            <v>13</v>
          </cell>
          <cell r="U16" t="str">
            <v>Total Deliveries</v>
          </cell>
          <cell r="W16">
            <v>2808135</v>
          </cell>
          <cell r="X16">
            <v>343214</v>
          </cell>
          <cell r="Y16">
            <v>389238</v>
          </cell>
          <cell r="Z16">
            <v>341347</v>
          </cell>
          <cell r="AA16">
            <v>243924</v>
          </cell>
          <cell r="AB16">
            <v>179633</v>
          </cell>
          <cell r="AC16">
            <v>140806</v>
          </cell>
          <cell r="AD16">
            <v>145716</v>
          </cell>
          <cell r="AE16">
            <v>134771</v>
          </cell>
          <cell r="AF16">
            <v>160671</v>
          </cell>
          <cell r="AG16">
            <v>190054</v>
          </cell>
          <cell r="AH16">
            <v>220813</v>
          </cell>
          <cell r="AI16">
            <v>317948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  <cell r="T18">
            <v>15</v>
          </cell>
          <cell r="X18">
            <v>1.0648500000000001</v>
          </cell>
          <cell r="Y18">
            <v>1.05365</v>
          </cell>
          <cell r="Z18">
            <v>1.05331</v>
          </cell>
          <cell r="AA18">
            <v>1.0564499999999999</v>
          </cell>
          <cell r="AB18">
            <v>1.05789</v>
          </cell>
          <cell r="AC18">
            <v>1.05959</v>
          </cell>
          <cell r="AD18">
            <v>1.0670500000000001</v>
          </cell>
          <cell r="AE18">
            <v>1.0666</v>
          </cell>
          <cell r="AF18">
            <v>1.0642199999999999</v>
          </cell>
          <cell r="AG18">
            <v>1.0648599999999999</v>
          </cell>
          <cell r="AH18">
            <v>1.06724</v>
          </cell>
          <cell r="AI18">
            <v>1.06707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594584</v>
          </cell>
          <cell r="E21">
            <v>108244</v>
          </cell>
          <cell r="F21">
            <v>130687</v>
          </cell>
          <cell r="G21">
            <v>131706</v>
          </cell>
          <cell r="H21">
            <v>66213</v>
          </cell>
          <cell r="I21">
            <v>25218</v>
          </cell>
          <cell r="J21">
            <v>11615</v>
          </cell>
          <cell r="K21">
            <v>9755</v>
          </cell>
          <cell r="L21">
            <v>9026</v>
          </cell>
          <cell r="M21">
            <v>9022</v>
          </cell>
          <cell r="N21">
            <v>14938</v>
          </cell>
          <cell r="O21">
            <v>30217</v>
          </cell>
          <cell r="P21">
            <v>47943</v>
          </cell>
          <cell r="T21">
            <v>18</v>
          </cell>
          <cell r="U21" t="str">
            <v>Residential</v>
          </cell>
          <cell r="W21">
            <v>597414</v>
          </cell>
          <cell r="X21">
            <v>106677</v>
          </cell>
          <cell r="Y21">
            <v>134714</v>
          </cell>
          <cell r="Z21">
            <v>107168</v>
          </cell>
          <cell r="AA21">
            <v>61173</v>
          </cell>
          <cell r="AB21">
            <v>25999</v>
          </cell>
          <cell r="AC21">
            <v>11728</v>
          </cell>
          <cell r="AD21">
            <v>9549</v>
          </cell>
          <cell r="AE21">
            <v>8713</v>
          </cell>
          <cell r="AF21">
            <v>10198</v>
          </cell>
          <cell r="AG21">
            <v>11965</v>
          </cell>
          <cell r="AH21">
            <v>33665</v>
          </cell>
          <cell r="AI21">
            <v>75865</v>
          </cell>
        </row>
        <row r="22">
          <cell r="A22">
            <v>19</v>
          </cell>
          <cell r="B22" t="str">
            <v>Commercial</v>
          </cell>
          <cell r="D22">
            <v>914074</v>
          </cell>
          <cell r="E22">
            <v>138069</v>
          </cell>
          <cell r="F22">
            <v>164694</v>
          </cell>
          <cell r="G22">
            <v>149719</v>
          </cell>
          <cell r="H22">
            <v>90381</v>
          </cell>
          <cell r="I22">
            <v>48190</v>
          </cell>
          <cell r="J22">
            <v>36109</v>
          </cell>
          <cell r="K22">
            <v>34687</v>
          </cell>
          <cell r="L22">
            <v>32318</v>
          </cell>
          <cell r="M22">
            <v>35093</v>
          </cell>
          <cell r="N22">
            <v>50074</v>
          </cell>
          <cell r="O22">
            <v>56941</v>
          </cell>
          <cell r="P22">
            <v>77799</v>
          </cell>
          <cell r="T22">
            <v>19</v>
          </cell>
          <cell r="U22" t="str">
            <v>Commercial</v>
          </cell>
          <cell r="W22">
            <v>922440</v>
          </cell>
          <cell r="X22">
            <v>137898</v>
          </cell>
          <cell r="Y22">
            <v>152736</v>
          </cell>
          <cell r="Z22">
            <v>134502</v>
          </cell>
          <cell r="AA22">
            <v>83076</v>
          </cell>
          <cell r="AB22">
            <v>51387</v>
          </cell>
          <cell r="AC22">
            <v>36163</v>
          </cell>
          <cell r="AD22">
            <v>35326</v>
          </cell>
          <cell r="AE22">
            <v>33044</v>
          </cell>
          <cell r="AF22">
            <v>37209</v>
          </cell>
          <cell r="AG22">
            <v>44759</v>
          </cell>
          <cell r="AH22">
            <v>66927</v>
          </cell>
          <cell r="AI22">
            <v>109413</v>
          </cell>
        </row>
        <row r="23">
          <cell r="A23">
            <v>20</v>
          </cell>
          <cell r="B23" t="str">
            <v xml:space="preserve">Industrial </v>
          </cell>
          <cell r="D23">
            <v>1515820</v>
          </cell>
          <cell r="E23">
            <v>131755</v>
          </cell>
          <cell r="F23">
            <v>130955</v>
          </cell>
          <cell r="G23">
            <v>134729</v>
          </cell>
          <cell r="H23">
            <v>127047</v>
          </cell>
          <cell r="I23">
            <v>109609</v>
          </cell>
          <cell r="J23">
            <v>114370</v>
          </cell>
          <cell r="K23">
            <v>104846</v>
          </cell>
          <cell r="L23">
            <v>107707</v>
          </cell>
          <cell r="M23">
            <v>129622</v>
          </cell>
          <cell r="N23">
            <v>142785</v>
          </cell>
          <cell r="O23">
            <v>130745</v>
          </cell>
          <cell r="P23">
            <v>151650</v>
          </cell>
          <cell r="T23">
            <v>20</v>
          </cell>
          <cell r="U23" t="str">
            <v xml:space="preserve">Industrial </v>
          </cell>
          <cell r="W23">
            <v>1459739</v>
          </cell>
          <cell r="X23">
            <v>120897</v>
          </cell>
          <cell r="Y23">
            <v>122670</v>
          </cell>
          <cell r="Z23">
            <v>117874</v>
          </cell>
          <cell r="AA23">
            <v>113445</v>
          </cell>
          <cell r="AB23">
            <v>112646</v>
          </cell>
          <cell r="AC23">
            <v>101306</v>
          </cell>
          <cell r="AD23">
            <v>110611</v>
          </cell>
          <cell r="AE23">
            <v>101989</v>
          </cell>
          <cell r="AF23">
            <v>123581</v>
          </cell>
          <cell r="AG23">
            <v>145657</v>
          </cell>
          <cell r="AH23">
            <v>135069</v>
          </cell>
          <cell r="AI23">
            <v>153994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3024478</v>
          </cell>
          <cell r="E25">
            <v>378068</v>
          </cell>
          <cell r="F25">
            <v>426336</v>
          </cell>
          <cell r="G25">
            <v>416154</v>
          </cell>
          <cell r="H25">
            <v>283641</v>
          </cell>
          <cell r="I25">
            <v>183017</v>
          </cell>
          <cell r="J25">
            <v>162094</v>
          </cell>
          <cell r="K25">
            <v>149288</v>
          </cell>
          <cell r="L25">
            <v>149051</v>
          </cell>
          <cell r="M25">
            <v>173737</v>
          </cell>
          <cell r="N25">
            <v>207797</v>
          </cell>
          <cell r="O25">
            <v>217903</v>
          </cell>
          <cell r="P25">
            <v>277392</v>
          </cell>
          <cell r="T25">
            <v>22</v>
          </cell>
          <cell r="U25" t="str">
            <v>Total Deliveries</v>
          </cell>
          <cell r="W25">
            <v>2979593</v>
          </cell>
          <cell r="X25">
            <v>365472</v>
          </cell>
          <cell r="Y25">
            <v>410120</v>
          </cell>
          <cell r="Z25">
            <v>359544</v>
          </cell>
          <cell r="AA25">
            <v>257694</v>
          </cell>
          <cell r="AB25">
            <v>190032</v>
          </cell>
          <cell r="AC25">
            <v>149197</v>
          </cell>
          <cell r="AD25">
            <v>155486</v>
          </cell>
          <cell r="AE25">
            <v>143746</v>
          </cell>
          <cell r="AF25">
            <v>170988</v>
          </cell>
          <cell r="AG25">
            <v>202381</v>
          </cell>
          <cell r="AH25">
            <v>235661</v>
          </cell>
          <cell r="AI25">
            <v>339272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13171</v>
          </cell>
          <cell r="F28">
            <v>13255</v>
          </cell>
          <cell r="G28">
            <v>13257</v>
          </cell>
          <cell r="H28">
            <v>13271</v>
          </cell>
          <cell r="I28">
            <v>13121</v>
          </cell>
          <cell r="J28">
            <v>12723</v>
          </cell>
          <cell r="K28">
            <v>12650</v>
          </cell>
          <cell r="L28">
            <v>12709</v>
          </cell>
          <cell r="M28">
            <v>12822</v>
          </cell>
          <cell r="N28">
            <v>12978</v>
          </cell>
          <cell r="O28">
            <v>13361</v>
          </cell>
          <cell r="P28">
            <v>13788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337273</v>
          </cell>
          <cell r="F29">
            <v>360765</v>
          </cell>
          <cell r="G29">
            <v>322247</v>
          </cell>
          <cell r="H29">
            <v>241913</v>
          </cell>
          <cell r="I29">
            <v>182375</v>
          </cell>
          <cell r="J29">
            <v>145142</v>
          </cell>
          <cell r="K29">
            <v>136701</v>
          </cell>
          <cell r="L29">
            <v>145070</v>
          </cell>
          <cell r="M29">
            <v>157028</v>
          </cell>
          <cell r="N29">
            <v>189371</v>
          </cell>
          <cell r="O29">
            <v>216525</v>
          </cell>
          <cell r="P29">
            <v>312392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349077.55499999999</v>
          </cell>
          <cell r="F30">
            <v>373391.77499999997</v>
          </cell>
          <cell r="G30">
            <v>333525.64499999996</v>
          </cell>
          <cell r="H30">
            <v>250379.95499999999</v>
          </cell>
          <cell r="I30">
            <v>188758.12499999997</v>
          </cell>
          <cell r="J30">
            <v>150221.97</v>
          </cell>
          <cell r="K30">
            <v>141485.535</v>
          </cell>
          <cell r="L30">
            <v>150147.44999999998</v>
          </cell>
          <cell r="M30">
            <v>162523.97999999998</v>
          </cell>
          <cell r="N30">
            <v>195998.98499999999</v>
          </cell>
          <cell r="O30">
            <v>224103.37499999997</v>
          </cell>
          <cell r="P30">
            <v>323325.71999999997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11265</v>
          </cell>
          <cell r="F34">
            <v>11304</v>
          </cell>
          <cell r="G34">
            <v>11327</v>
          </cell>
          <cell r="H34">
            <v>11315</v>
          </cell>
          <cell r="I34">
            <v>11243</v>
          </cell>
          <cell r="J34">
            <v>11157</v>
          </cell>
          <cell r="K34">
            <v>11082</v>
          </cell>
          <cell r="L34">
            <v>11023</v>
          </cell>
          <cell r="M34">
            <v>10980</v>
          </cell>
          <cell r="N34">
            <v>10953</v>
          </cell>
          <cell r="O34">
            <v>10953</v>
          </cell>
          <cell r="P34">
            <v>10967</v>
          </cell>
          <cell r="T34">
            <v>31</v>
          </cell>
          <cell r="U34" t="str">
            <v>Residential</v>
          </cell>
          <cell r="X34">
            <v>11220</v>
          </cell>
          <cell r="Y34">
            <v>11259</v>
          </cell>
          <cell r="Z34">
            <v>11283</v>
          </cell>
          <cell r="AA34">
            <v>11271</v>
          </cell>
          <cell r="AB34">
            <v>11212</v>
          </cell>
          <cell r="AC34">
            <v>11126</v>
          </cell>
          <cell r="AD34">
            <v>11052</v>
          </cell>
          <cell r="AE34">
            <v>10992</v>
          </cell>
          <cell r="AF34">
            <v>10949</v>
          </cell>
          <cell r="AG34">
            <v>10917</v>
          </cell>
          <cell r="AH34">
            <v>10910</v>
          </cell>
          <cell r="AI34">
            <v>10933</v>
          </cell>
        </row>
        <row r="35">
          <cell r="A35">
            <v>32</v>
          </cell>
          <cell r="B35" t="str">
            <v>Commercial</v>
          </cell>
          <cell r="E35">
            <v>1834</v>
          </cell>
          <cell r="F35">
            <v>1839</v>
          </cell>
          <cell r="G35">
            <v>1841</v>
          </cell>
          <cell r="H35">
            <v>1838</v>
          </cell>
          <cell r="I35">
            <v>1829</v>
          </cell>
          <cell r="J35">
            <v>1820</v>
          </cell>
          <cell r="K35">
            <v>1811</v>
          </cell>
          <cell r="L35">
            <v>1805</v>
          </cell>
          <cell r="M35">
            <v>1800</v>
          </cell>
          <cell r="N35">
            <v>1797</v>
          </cell>
          <cell r="O35">
            <v>1797</v>
          </cell>
          <cell r="P35">
            <v>1800</v>
          </cell>
          <cell r="T35">
            <v>32</v>
          </cell>
          <cell r="U35" t="str">
            <v>Commercial</v>
          </cell>
          <cell r="X35">
            <v>1818</v>
          </cell>
          <cell r="Y35">
            <v>1820</v>
          </cell>
          <cell r="Z35">
            <v>1821</v>
          </cell>
          <cell r="AA35">
            <v>1819</v>
          </cell>
          <cell r="AB35">
            <v>1813</v>
          </cell>
          <cell r="AC35">
            <v>1804</v>
          </cell>
          <cell r="AD35">
            <v>1796</v>
          </cell>
          <cell r="AE35">
            <v>1790</v>
          </cell>
          <cell r="AF35">
            <v>1785</v>
          </cell>
          <cell r="AG35">
            <v>1782</v>
          </cell>
          <cell r="AH35">
            <v>1782</v>
          </cell>
          <cell r="AI35">
            <v>1786</v>
          </cell>
        </row>
        <row r="36">
          <cell r="A36">
            <v>33</v>
          </cell>
          <cell r="B36" t="str">
            <v xml:space="preserve">Industrial </v>
          </cell>
          <cell r="E36">
            <v>37</v>
          </cell>
          <cell r="F36">
            <v>37</v>
          </cell>
          <cell r="G36">
            <v>37</v>
          </cell>
          <cell r="H36">
            <v>37</v>
          </cell>
          <cell r="I36">
            <v>37</v>
          </cell>
          <cell r="J36">
            <v>37</v>
          </cell>
          <cell r="K36">
            <v>37</v>
          </cell>
          <cell r="L36">
            <v>37</v>
          </cell>
          <cell r="M36">
            <v>37</v>
          </cell>
          <cell r="N36">
            <v>37</v>
          </cell>
          <cell r="O36">
            <v>37</v>
          </cell>
          <cell r="P36">
            <v>37</v>
          </cell>
          <cell r="T36">
            <v>33</v>
          </cell>
          <cell r="U36" t="str">
            <v xml:space="preserve">Industrial </v>
          </cell>
          <cell r="X36">
            <v>35</v>
          </cell>
          <cell r="Y36">
            <v>35</v>
          </cell>
          <cell r="Z36">
            <v>35</v>
          </cell>
          <cell r="AA36">
            <v>35</v>
          </cell>
          <cell r="AB36">
            <v>35</v>
          </cell>
          <cell r="AC36">
            <v>35</v>
          </cell>
          <cell r="AD36">
            <v>35</v>
          </cell>
          <cell r="AE36">
            <v>35</v>
          </cell>
          <cell r="AF36">
            <v>35</v>
          </cell>
          <cell r="AG36">
            <v>35</v>
          </cell>
          <cell r="AH36">
            <v>36</v>
          </cell>
          <cell r="AI36">
            <v>36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13136</v>
          </cell>
          <cell r="F38">
            <v>13180</v>
          </cell>
          <cell r="G38">
            <v>13205</v>
          </cell>
          <cell r="H38">
            <v>13190</v>
          </cell>
          <cell r="I38">
            <v>13109</v>
          </cell>
          <cell r="J38">
            <v>13014</v>
          </cell>
          <cell r="K38">
            <v>12930</v>
          </cell>
          <cell r="L38">
            <v>12865</v>
          </cell>
          <cell r="M38">
            <v>12817</v>
          </cell>
          <cell r="N38">
            <v>12787</v>
          </cell>
          <cell r="O38">
            <v>12787</v>
          </cell>
          <cell r="P38">
            <v>12804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13073</v>
          </cell>
          <cell r="Y38">
            <v>13114</v>
          </cell>
          <cell r="Z38">
            <v>13139</v>
          </cell>
          <cell r="AA38">
            <v>13125</v>
          </cell>
          <cell r="AB38">
            <v>13060</v>
          </cell>
          <cell r="AC38">
            <v>12965</v>
          </cell>
          <cell r="AD38">
            <v>12883</v>
          </cell>
          <cell r="AE38">
            <v>12817</v>
          </cell>
          <cell r="AF38">
            <v>12769</v>
          </cell>
          <cell r="AG38">
            <v>12734</v>
          </cell>
          <cell r="AH38">
            <v>12728</v>
          </cell>
          <cell r="AI38">
            <v>12755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101939</v>
          </cell>
          <cell r="F41">
            <v>224718</v>
          </cell>
          <cell r="G41">
            <v>348552</v>
          </cell>
          <cell r="H41">
            <v>411109</v>
          </cell>
          <cell r="I41">
            <v>434925</v>
          </cell>
          <cell r="J41">
            <v>445851</v>
          </cell>
          <cell r="K41">
            <v>455068</v>
          </cell>
          <cell r="L41">
            <v>463611</v>
          </cell>
          <cell r="M41">
            <v>472162</v>
          </cell>
          <cell r="N41">
            <v>486261</v>
          </cell>
          <cell r="O41">
            <v>514915</v>
          </cell>
          <cell r="P41">
            <v>560347</v>
          </cell>
          <cell r="T41">
            <v>38</v>
          </cell>
          <cell r="U41" t="str">
            <v>Residential</v>
          </cell>
          <cell r="X41">
            <v>100180</v>
          </cell>
          <cell r="Y41">
            <v>228035</v>
          </cell>
          <cell r="Z41">
            <v>329779</v>
          </cell>
          <cell r="AA41">
            <v>387683</v>
          </cell>
          <cell r="AB41">
            <v>412259</v>
          </cell>
          <cell r="AC41">
            <v>423327</v>
          </cell>
          <cell r="AD41">
            <v>432276</v>
          </cell>
          <cell r="AE41">
            <v>440445</v>
          </cell>
          <cell r="AF41">
            <v>450028</v>
          </cell>
          <cell r="AG41">
            <v>461264</v>
          </cell>
          <cell r="AH41">
            <v>492808</v>
          </cell>
          <cell r="AI41">
            <v>563905</v>
          </cell>
        </row>
        <row r="42">
          <cell r="A42">
            <v>39</v>
          </cell>
          <cell r="B42" t="str">
            <v>Commercial</v>
          </cell>
          <cell r="E42">
            <v>130027</v>
          </cell>
          <cell r="F42">
            <v>284755</v>
          </cell>
          <cell r="G42">
            <v>425525</v>
          </cell>
          <cell r="H42">
            <v>510916</v>
          </cell>
          <cell r="I42">
            <v>556426</v>
          </cell>
          <cell r="J42">
            <v>590394</v>
          </cell>
          <cell r="K42">
            <v>623168</v>
          </cell>
          <cell r="L42">
            <v>653756</v>
          </cell>
          <cell r="M42">
            <v>687017</v>
          </cell>
          <cell r="N42">
            <v>734278</v>
          </cell>
          <cell r="O42">
            <v>788274</v>
          </cell>
          <cell r="P42">
            <v>861998</v>
          </cell>
          <cell r="T42">
            <v>39</v>
          </cell>
          <cell r="U42" t="str">
            <v>Commercial</v>
          </cell>
          <cell r="X42">
            <v>129500</v>
          </cell>
          <cell r="Y42">
            <v>274459</v>
          </cell>
          <cell r="Z42">
            <v>402154</v>
          </cell>
          <cell r="AA42">
            <v>480791</v>
          </cell>
          <cell r="AB42">
            <v>529366</v>
          </cell>
          <cell r="AC42">
            <v>563495</v>
          </cell>
          <cell r="AD42">
            <v>596601</v>
          </cell>
          <cell r="AE42">
            <v>627582</v>
          </cell>
          <cell r="AF42">
            <v>662546</v>
          </cell>
          <cell r="AG42">
            <v>704579</v>
          </cell>
          <cell r="AH42">
            <v>767289</v>
          </cell>
          <cell r="AI42">
            <v>869825</v>
          </cell>
        </row>
        <row r="43">
          <cell r="A43">
            <v>40</v>
          </cell>
          <cell r="B43" t="str">
            <v xml:space="preserve">Industrial </v>
          </cell>
          <cell r="E43">
            <v>124081</v>
          </cell>
          <cell r="F43">
            <v>247112</v>
          </cell>
          <cell r="G43">
            <v>373788</v>
          </cell>
          <cell r="H43">
            <v>493820</v>
          </cell>
          <cell r="I43">
            <v>597334</v>
          </cell>
          <cell r="J43">
            <v>704923</v>
          </cell>
          <cell r="K43">
            <v>803988</v>
          </cell>
          <cell r="L43">
            <v>905930</v>
          </cell>
          <cell r="M43">
            <v>1028786</v>
          </cell>
          <cell r="N43">
            <v>1163549</v>
          </cell>
          <cell r="O43">
            <v>1287532</v>
          </cell>
          <cell r="P43">
            <v>1431238</v>
          </cell>
          <cell r="T43">
            <v>40</v>
          </cell>
          <cell r="U43" t="str">
            <v xml:space="preserve">Industrial </v>
          </cell>
          <cell r="X43">
            <v>113534</v>
          </cell>
          <cell r="Y43">
            <v>229958</v>
          </cell>
          <cell r="Z43">
            <v>341866</v>
          </cell>
          <cell r="AA43">
            <v>449249</v>
          </cell>
          <cell r="AB43">
            <v>555731</v>
          </cell>
          <cell r="AC43">
            <v>651340</v>
          </cell>
          <cell r="AD43">
            <v>755001</v>
          </cell>
          <cell r="AE43">
            <v>850622</v>
          </cell>
          <cell r="AF43">
            <v>966746</v>
          </cell>
          <cell r="AG43">
            <v>1103531</v>
          </cell>
          <cell r="AH43">
            <v>1230090</v>
          </cell>
          <cell r="AI43">
            <v>1374405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E45">
            <v>356047</v>
          </cell>
          <cell r="F45">
            <v>756585</v>
          </cell>
          <cell r="G45">
            <v>1147865</v>
          </cell>
          <cell r="H45">
            <v>1415845</v>
          </cell>
          <cell r="I45">
            <v>1588685</v>
          </cell>
          <cell r="J45">
            <v>1741168</v>
          </cell>
          <cell r="K45">
            <v>1882224</v>
          </cell>
          <cell r="L45">
            <v>2023297</v>
          </cell>
          <cell r="M45">
            <v>2187965</v>
          </cell>
          <cell r="N45">
            <v>2384088</v>
          </cell>
          <cell r="O45">
            <v>2590721</v>
          </cell>
          <cell r="P45">
            <v>2853583</v>
          </cell>
          <cell r="T45">
            <v>42</v>
          </cell>
          <cell r="U45" t="str">
            <v>Total customers</v>
          </cell>
          <cell r="X45">
            <v>343214</v>
          </cell>
          <cell r="Y45">
            <v>732452</v>
          </cell>
          <cell r="Z45">
            <v>1073799</v>
          </cell>
          <cell r="AA45">
            <v>1317723</v>
          </cell>
          <cell r="AB45">
            <v>1497356</v>
          </cell>
          <cell r="AC45">
            <v>1638162</v>
          </cell>
          <cell r="AD45">
            <v>1783878</v>
          </cell>
          <cell r="AE45">
            <v>1918649</v>
          </cell>
          <cell r="AF45">
            <v>2079320</v>
          </cell>
          <cell r="AG45">
            <v>2269374</v>
          </cell>
          <cell r="AH45">
            <v>2490187</v>
          </cell>
          <cell r="AI45">
            <v>2808135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108244</v>
          </cell>
          <cell r="F48">
            <v>238931</v>
          </cell>
          <cell r="G48">
            <v>370637</v>
          </cell>
          <cell r="H48">
            <v>436850</v>
          </cell>
          <cell r="I48">
            <v>462068</v>
          </cell>
          <cell r="J48">
            <v>473683</v>
          </cell>
          <cell r="K48">
            <v>483438</v>
          </cell>
          <cell r="L48">
            <v>492464</v>
          </cell>
          <cell r="M48">
            <v>501486</v>
          </cell>
          <cell r="N48">
            <v>516424</v>
          </cell>
          <cell r="O48">
            <v>546641</v>
          </cell>
          <cell r="P48">
            <v>594584</v>
          </cell>
          <cell r="T48">
            <v>45</v>
          </cell>
          <cell r="U48" t="str">
            <v>Residential</v>
          </cell>
          <cell r="X48">
            <v>106677</v>
          </cell>
          <cell r="Y48">
            <v>241391</v>
          </cell>
          <cell r="Z48">
            <v>348559</v>
          </cell>
          <cell r="AA48">
            <v>409732</v>
          </cell>
          <cell r="AB48">
            <v>435731</v>
          </cell>
          <cell r="AC48">
            <v>447459</v>
          </cell>
          <cell r="AD48">
            <v>457008</v>
          </cell>
          <cell r="AE48">
            <v>465721</v>
          </cell>
          <cell r="AF48">
            <v>475919</v>
          </cell>
          <cell r="AG48">
            <v>487884</v>
          </cell>
          <cell r="AH48">
            <v>521549</v>
          </cell>
          <cell r="AI48">
            <v>597414</v>
          </cell>
        </row>
        <row r="49">
          <cell r="A49">
            <v>46</v>
          </cell>
          <cell r="B49" t="str">
            <v>Commercial</v>
          </cell>
          <cell r="E49">
            <v>138069</v>
          </cell>
          <cell r="F49">
            <v>302763</v>
          </cell>
          <cell r="G49">
            <v>452482</v>
          </cell>
          <cell r="H49">
            <v>542863</v>
          </cell>
          <cell r="I49">
            <v>591053</v>
          </cell>
          <cell r="J49">
            <v>627162</v>
          </cell>
          <cell r="K49">
            <v>661849</v>
          </cell>
          <cell r="L49">
            <v>694167</v>
          </cell>
          <cell r="M49">
            <v>729260</v>
          </cell>
          <cell r="N49">
            <v>779334</v>
          </cell>
          <cell r="O49">
            <v>836275</v>
          </cell>
          <cell r="P49">
            <v>914074</v>
          </cell>
          <cell r="T49">
            <v>46</v>
          </cell>
          <cell r="U49" t="str">
            <v>Commercial</v>
          </cell>
          <cell r="X49">
            <v>137898</v>
          </cell>
          <cell r="Y49">
            <v>290634</v>
          </cell>
          <cell r="Z49">
            <v>425136</v>
          </cell>
          <cell r="AA49">
            <v>508212</v>
          </cell>
          <cell r="AB49">
            <v>559599</v>
          </cell>
          <cell r="AC49">
            <v>595762</v>
          </cell>
          <cell r="AD49">
            <v>631088</v>
          </cell>
          <cell r="AE49">
            <v>664132</v>
          </cell>
          <cell r="AF49">
            <v>701341</v>
          </cell>
          <cell r="AG49">
            <v>746100</v>
          </cell>
          <cell r="AH49">
            <v>813027</v>
          </cell>
          <cell r="AI49">
            <v>922440</v>
          </cell>
        </row>
        <row r="50">
          <cell r="A50">
            <v>47</v>
          </cell>
          <cell r="B50" t="str">
            <v xml:space="preserve">Industrial </v>
          </cell>
          <cell r="E50">
            <v>131755</v>
          </cell>
          <cell r="F50">
            <v>262710</v>
          </cell>
          <cell r="G50">
            <v>397439</v>
          </cell>
          <cell r="H50">
            <v>524486</v>
          </cell>
          <cell r="I50">
            <v>634095</v>
          </cell>
          <cell r="J50">
            <v>748465</v>
          </cell>
          <cell r="K50">
            <v>853311</v>
          </cell>
          <cell r="L50">
            <v>961018</v>
          </cell>
          <cell r="M50">
            <v>1090640</v>
          </cell>
          <cell r="N50">
            <v>1233425</v>
          </cell>
          <cell r="O50">
            <v>1364170</v>
          </cell>
          <cell r="P50">
            <v>1515820</v>
          </cell>
          <cell r="T50">
            <v>47</v>
          </cell>
          <cell r="U50" t="str">
            <v xml:space="preserve">Industrial </v>
          </cell>
          <cell r="X50">
            <v>120897</v>
          </cell>
          <cell r="Y50">
            <v>243567</v>
          </cell>
          <cell r="Z50">
            <v>361441</v>
          </cell>
          <cell r="AA50">
            <v>474886</v>
          </cell>
          <cell r="AB50">
            <v>587532</v>
          </cell>
          <cell r="AC50">
            <v>688838</v>
          </cell>
          <cell r="AD50">
            <v>799449</v>
          </cell>
          <cell r="AE50">
            <v>901438</v>
          </cell>
          <cell r="AF50">
            <v>1025019</v>
          </cell>
          <cell r="AG50">
            <v>1170676</v>
          </cell>
          <cell r="AH50">
            <v>1305745</v>
          </cell>
          <cell r="AI50">
            <v>1459739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378068</v>
          </cell>
          <cell r="F52">
            <v>804404</v>
          </cell>
          <cell r="G52">
            <v>1220558</v>
          </cell>
          <cell r="H52">
            <v>1504199</v>
          </cell>
          <cell r="I52">
            <v>1687216</v>
          </cell>
          <cell r="J52">
            <v>1849310</v>
          </cell>
          <cell r="K52">
            <v>1998598</v>
          </cell>
          <cell r="L52">
            <v>2147649</v>
          </cell>
          <cell r="M52">
            <v>2321386</v>
          </cell>
          <cell r="N52">
            <v>2529183</v>
          </cell>
          <cell r="O52">
            <v>2747086</v>
          </cell>
          <cell r="P52">
            <v>3024478</v>
          </cell>
          <cell r="T52">
            <v>49</v>
          </cell>
          <cell r="U52" t="str">
            <v>Total Volume</v>
          </cell>
          <cell r="W52">
            <v>0</v>
          </cell>
          <cell r="X52">
            <v>365472</v>
          </cell>
          <cell r="Y52">
            <v>775592</v>
          </cell>
          <cell r="Z52">
            <v>1135136</v>
          </cell>
          <cell r="AA52">
            <v>1392830</v>
          </cell>
          <cell r="AB52">
            <v>1582862</v>
          </cell>
          <cell r="AC52">
            <v>1732059</v>
          </cell>
          <cell r="AD52">
            <v>1887545</v>
          </cell>
          <cell r="AE52">
            <v>2031291</v>
          </cell>
          <cell r="AF52">
            <v>2202279</v>
          </cell>
          <cell r="AG52">
            <v>2404660</v>
          </cell>
          <cell r="AH52">
            <v>2640321</v>
          </cell>
          <cell r="AI52">
            <v>2979593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13171</v>
          </cell>
          <cell r="F55">
            <v>13213</v>
          </cell>
          <cell r="G55">
            <v>13228</v>
          </cell>
          <cell r="H55">
            <v>13239</v>
          </cell>
          <cell r="I55">
            <v>13215</v>
          </cell>
          <cell r="J55">
            <v>13133</v>
          </cell>
          <cell r="K55">
            <v>13064</v>
          </cell>
          <cell r="L55">
            <v>13020</v>
          </cell>
          <cell r="M55">
            <v>12998</v>
          </cell>
          <cell r="N55">
            <v>12996</v>
          </cell>
          <cell r="O55">
            <v>13029</v>
          </cell>
          <cell r="P55">
            <v>13092</v>
          </cell>
        </row>
        <row r="56">
          <cell r="A56">
            <v>53</v>
          </cell>
          <cell r="B56" t="str">
            <v>Cumulative Budget YTD Volume (Mcfs)</v>
          </cell>
          <cell r="E56">
            <v>337273</v>
          </cell>
          <cell r="F56">
            <v>698038</v>
          </cell>
          <cell r="G56">
            <v>1020285</v>
          </cell>
          <cell r="H56">
            <v>1262198</v>
          </cell>
          <cell r="I56">
            <v>1444573</v>
          </cell>
          <cell r="J56">
            <v>1589715</v>
          </cell>
          <cell r="K56">
            <v>1726416</v>
          </cell>
          <cell r="L56">
            <v>1871486</v>
          </cell>
          <cell r="M56">
            <v>2028514</v>
          </cell>
          <cell r="N56">
            <v>2217885</v>
          </cell>
          <cell r="O56">
            <v>2434410</v>
          </cell>
          <cell r="P56">
            <v>2746802</v>
          </cell>
        </row>
        <row r="57">
          <cell r="A57">
            <v>54</v>
          </cell>
          <cell r="B57" t="str">
            <v>Cumulative YTD Budget Volume (Dts) * 1.035</v>
          </cell>
          <cell r="E57">
            <v>349077.55499999999</v>
          </cell>
          <cell r="F57">
            <v>722469.33</v>
          </cell>
          <cell r="G57">
            <v>1055994.9749999999</v>
          </cell>
          <cell r="H57">
            <v>1306374.93</v>
          </cell>
          <cell r="I57">
            <v>1495133.0549999999</v>
          </cell>
          <cell r="J57">
            <v>1645355.0249999999</v>
          </cell>
          <cell r="K57">
            <v>1786840.5599999998</v>
          </cell>
          <cell r="L57">
            <v>1936988.0099999998</v>
          </cell>
          <cell r="M57">
            <v>2099511.9899999998</v>
          </cell>
          <cell r="N57">
            <v>2295510.9749999996</v>
          </cell>
          <cell r="O57">
            <v>2519614.3499999996</v>
          </cell>
          <cell r="P57">
            <v>2842940.0699999994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14853.916666666666</v>
          </cell>
          <cell r="E5">
            <v>14722</v>
          </cell>
          <cell r="F5">
            <v>14793</v>
          </cell>
          <cell r="G5">
            <v>14867</v>
          </cell>
          <cell r="H5">
            <v>14917</v>
          </cell>
          <cell r="I5">
            <v>14834</v>
          </cell>
          <cell r="J5">
            <v>14749</v>
          </cell>
          <cell r="K5">
            <v>14777</v>
          </cell>
          <cell r="L5">
            <v>14791</v>
          </cell>
          <cell r="M5">
            <v>14799</v>
          </cell>
          <cell r="N5">
            <v>14918</v>
          </cell>
          <cell r="O5">
            <v>14987</v>
          </cell>
          <cell r="P5">
            <v>15093</v>
          </cell>
          <cell r="T5">
            <v>2</v>
          </cell>
          <cell r="U5" t="str">
            <v>Residential</v>
          </cell>
          <cell r="V5">
            <v>14412</v>
          </cell>
          <cell r="W5">
            <v>172940</v>
          </cell>
          <cell r="X5">
            <v>14264</v>
          </cell>
          <cell r="Y5">
            <v>14361</v>
          </cell>
          <cell r="Z5">
            <v>14422</v>
          </cell>
          <cell r="AA5">
            <v>14487</v>
          </cell>
          <cell r="AB5">
            <v>14403</v>
          </cell>
          <cell r="AC5">
            <v>14270</v>
          </cell>
          <cell r="AD5">
            <v>14288</v>
          </cell>
          <cell r="AE5">
            <v>14361</v>
          </cell>
          <cell r="AF5">
            <v>14420</v>
          </cell>
          <cell r="AG5">
            <v>14459</v>
          </cell>
          <cell r="AH5">
            <v>14539</v>
          </cell>
          <cell r="AI5">
            <v>14666</v>
          </cell>
        </row>
        <row r="6">
          <cell r="A6">
            <v>3</v>
          </cell>
          <cell r="B6" t="str">
            <v>Commercial</v>
          </cell>
          <cell r="D6">
            <v>1360.25</v>
          </cell>
          <cell r="E6">
            <v>1355</v>
          </cell>
          <cell r="F6">
            <v>1353</v>
          </cell>
          <cell r="G6">
            <v>1355</v>
          </cell>
          <cell r="H6">
            <v>1352</v>
          </cell>
          <cell r="I6">
            <v>1353</v>
          </cell>
          <cell r="J6">
            <v>1325</v>
          </cell>
          <cell r="K6">
            <v>1353</v>
          </cell>
          <cell r="L6">
            <v>1354</v>
          </cell>
          <cell r="M6">
            <v>1359</v>
          </cell>
          <cell r="N6">
            <v>1383</v>
          </cell>
          <cell r="O6">
            <v>1386</v>
          </cell>
          <cell r="P6">
            <v>1395</v>
          </cell>
          <cell r="T6">
            <v>3</v>
          </cell>
          <cell r="U6" t="str">
            <v>Commercial</v>
          </cell>
          <cell r="V6">
            <v>1363</v>
          </cell>
          <cell r="W6">
            <v>16352</v>
          </cell>
          <cell r="X6">
            <v>1349</v>
          </cell>
          <cell r="Y6">
            <v>1335</v>
          </cell>
          <cell r="Z6">
            <v>1354</v>
          </cell>
          <cell r="AA6">
            <v>1400</v>
          </cell>
          <cell r="AB6">
            <v>1357</v>
          </cell>
          <cell r="AC6">
            <v>1331</v>
          </cell>
          <cell r="AD6">
            <v>1333</v>
          </cell>
          <cell r="AE6">
            <v>1386</v>
          </cell>
          <cell r="AF6">
            <v>1422</v>
          </cell>
          <cell r="AG6">
            <v>1380</v>
          </cell>
          <cell r="AH6">
            <v>1352</v>
          </cell>
          <cell r="AI6">
            <v>1353</v>
          </cell>
        </row>
        <row r="7">
          <cell r="A7">
            <v>4</v>
          </cell>
          <cell r="B7" t="str">
            <v xml:space="preserve">Industrial </v>
          </cell>
          <cell r="D7">
            <v>69.25</v>
          </cell>
          <cell r="E7">
            <v>67</v>
          </cell>
          <cell r="F7">
            <v>66</v>
          </cell>
          <cell r="G7">
            <v>67</v>
          </cell>
          <cell r="H7">
            <v>65</v>
          </cell>
          <cell r="I7">
            <v>69</v>
          </cell>
          <cell r="J7">
            <v>67</v>
          </cell>
          <cell r="K7">
            <v>67</v>
          </cell>
          <cell r="L7">
            <v>70</v>
          </cell>
          <cell r="M7">
            <v>71</v>
          </cell>
          <cell r="N7">
            <v>77</v>
          </cell>
          <cell r="O7">
            <v>74</v>
          </cell>
          <cell r="P7">
            <v>71</v>
          </cell>
          <cell r="T7">
            <v>4</v>
          </cell>
          <cell r="U7" t="str">
            <v xml:space="preserve">Industrial </v>
          </cell>
          <cell r="V7">
            <v>60</v>
          </cell>
          <cell r="W7">
            <v>725</v>
          </cell>
          <cell r="X7">
            <v>59</v>
          </cell>
          <cell r="Y7">
            <v>66</v>
          </cell>
          <cell r="Z7">
            <v>58</v>
          </cell>
          <cell r="AA7">
            <v>58</v>
          </cell>
          <cell r="AB7">
            <v>59</v>
          </cell>
          <cell r="AC7">
            <v>59</v>
          </cell>
          <cell r="AD7">
            <v>59</v>
          </cell>
          <cell r="AE7">
            <v>60</v>
          </cell>
          <cell r="AF7">
            <v>59</v>
          </cell>
          <cell r="AG7">
            <v>61</v>
          </cell>
          <cell r="AH7">
            <v>60</v>
          </cell>
          <cell r="AI7">
            <v>67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16283.416666666666</v>
          </cell>
          <cell r="E9">
            <v>16144</v>
          </cell>
          <cell r="F9">
            <v>16212</v>
          </cell>
          <cell r="G9">
            <v>16289</v>
          </cell>
          <cell r="H9">
            <v>16334</v>
          </cell>
          <cell r="I9">
            <v>16256</v>
          </cell>
          <cell r="J9">
            <v>16141</v>
          </cell>
          <cell r="K9">
            <v>16197</v>
          </cell>
          <cell r="L9">
            <v>16215</v>
          </cell>
          <cell r="M9">
            <v>16229</v>
          </cell>
          <cell r="N9">
            <v>16378</v>
          </cell>
          <cell r="O9">
            <v>16447</v>
          </cell>
          <cell r="P9">
            <v>16559</v>
          </cell>
          <cell r="T9">
            <v>6</v>
          </cell>
          <cell r="U9" t="str">
            <v>Total customers</v>
          </cell>
          <cell r="V9">
            <v>15835</v>
          </cell>
          <cell r="W9">
            <v>190017</v>
          </cell>
          <cell r="X9">
            <v>15672</v>
          </cell>
          <cell r="Y9">
            <v>15762</v>
          </cell>
          <cell r="Z9">
            <v>15834</v>
          </cell>
          <cell r="AA9">
            <v>15945</v>
          </cell>
          <cell r="AB9">
            <v>15819</v>
          </cell>
          <cell r="AC9">
            <v>15660</v>
          </cell>
          <cell r="AD9">
            <v>15680</v>
          </cell>
          <cell r="AE9">
            <v>15807</v>
          </cell>
          <cell r="AF9">
            <v>15901</v>
          </cell>
          <cell r="AG9">
            <v>15900</v>
          </cell>
          <cell r="AH9">
            <v>15951</v>
          </cell>
          <cell r="AI9">
            <v>16086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318645.11709806212</v>
          </cell>
          <cell r="E12">
            <v>43486.8</v>
          </cell>
          <cell r="F12">
            <v>55519.62</v>
          </cell>
          <cell r="G12">
            <v>38026.758204304249</v>
          </cell>
          <cell r="H12">
            <v>30865.13</v>
          </cell>
          <cell r="I12">
            <v>18049.37</v>
          </cell>
          <cell r="J12">
            <v>15426.915960658293</v>
          </cell>
          <cell r="K12">
            <v>15689.551076054144</v>
          </cell>
          <cell r="L12">
            <v>16261.174408413672</v>
          </cell>
          <cell r="M12">
            <v>15259.518940500535</v>
          </cell>
          <cell r="N12">
            <v>17805.044308111792</v>
          </cell>
          <cell r="O12">
            <v>21867.075664621676</v>
          </cell>
          <cell r="P12">
            <v>30388.158535397797</v>
          </cell>
          <cell r="T12">
            <v>9</v>
          </cell>
          <cell r="U12" t="str">
            <v>Residential</v>
          </cell>
          <cell r="W12">
            <v>333709.19875352998</v>
          </cell>
          <cell r="X12">
            <v>52421</v>
          </cell>
          <cell r="Y12">
            <v>42274</v>
          </cell>
          <cell r="Z12">
            <v>38382</v>
          </cell>
          <cell r="AA12">
            <v>34621</v>
          </cell>
          <cell r="AB12">
            <v>19983.737462265068</v>
          </cell>
          <cell r="AC12">
            <v>16444.152303048009</v>
          </cell>
          <cell r="AD12">
            <v>15428.863569967863</v>
          </cell>
          <cell r="AE12">
            <v>14254.649917226605</v>
          </cell>
          <cell r="AF12">
            <v>14134.190281429544</v>
          </cell>
          <cell r="AG12">
            <v>18694.225338397118</v>
          </cell>
          <cell r="AH12">
            <v>27284.253578732107</v>
          </cell>
          <cell r="AI12">
            <v>39787.126302463723</v>
          </cell>
        </row>
        <row r="13">
          <cell r="A13">
            <v>10</v>
          </cell>
          <cell r="B13" t="str">
            <v>Commercial</v>
          </cell>
          <cell r="D13">
            <v>5274821.3954163007</v>
          </cell>
          <cell r="E13">
            <v>461002.04</v>
          </cell>
          <cell r="F13">
            <v>449692.76</v>
          </cell>
          <cell r="G13">
            <v>443954.23</v>
          </cell>
          <cell r="H13">
            <v>460692.86</v>
          </cell>
          <cell r="I13">
            <v>444848.48</v>
          </cell>
          <cell r="J13">
            <v>431929.59392345895</v>
          </cell>
          <cell r="K13">
            <v>433293.79686434899</v>
          </cell>
          <cell r="L13">
            <v>406641.0556042458</v>
          </cell>
          <cell r="M13">
            <v>430907.29379686434</v>
          </cell>
          <cell r="N13">
            <v>452550.39439088519</v>
          </cell>
          <cell r="O13">
            <v>419030.28532476386</v>
          </cell>
          <cell r="P13">
            <v>440278.60551173432</v>
          </cell>
          <cell r="T13">
            <v>10</v>
          </cell>
          <cell r="U13" t="str">
            <v>Commercial</v>
          </cell>
          <cell r="W13">
            <v>1672129.6133995519</v>
          </cell>
          <cell r="X13">
            <v>150373</v>
          </cell>
          <cell r="Y13">
            <v>118901</v>
          </cell>
          <cell r="Z13">
            <v>125797</v>
          </cell>
          <cell r="AA13">
            <v>117929</v>
          </cell>
          <cell r="AB13">
            <v>101835.42701334112</v>
          </cell>
          <cell r="AC13">
            <v>95135.35884701529</v>
          </cell>
          <cell r="AD13">
            <v>93005.453306066804</v>
          </cell>
          <cell r="AE13">
            <v>93702.989580290188</v>
          </cell>
          <cell r="AF13">
            <v>96572.402376083352</v>
          </cell>
          <cell r="AG13">
            <v>111335.57308403934</v>
          </cell>
          <cell r="AH13">
            <v>124072.25630538513</v>
          </cell>
          <cell r="AI13">
            <v>443470.1528873308</v>
          </cell>
        </row>
        <row r="14">
          <cell r="A14">
            <v>11</v>
          </cell>
          <cell r="B14" t="str">
            <v xml:space="preserve">Industrial </v>
          </cell>
          <cell r="D14">
            <v>10714720.026967572</v>
          </cell>
          <cell r="E14">
            <v>856208.39</v>
          </cell>
          <cell r="F14">
            <v>943253.87</v>
          </cell>
          <cell r="G14">
            <v>962052</v>
          </cell>
          <cell r="H14">
            <v>590945.76</v>
          </cell>
          <cell r="I14">
            <v>1268224.95</v>
          </cell>
          <cell r="J14">
            <v>914274.32077125332</v>
          </cell>
          <cell r="K14">
            <v>1132266.7250949459</v>
          </cell>
          <cell r="L14">
            <v>663005.4533060668</v>
          </cell>
          <cell r="M14">
            <v>643011.97779725387</v>
          </cell>
          <cell r="N14">
            <v>788107.21589249198</v>
          </cell>
          <cell r="O14">
            <v>816880.1246469958</v>
          </cell>
          <cell r="P14">
            <v>1136489.2394585647</v>
          </cell>
          <cell r="T14">
            <v>11</v>
          </cell>
          <cell r="U14" t="str">
            <v xml:space="preserve">Industrial </v>
          </cell>
          <cell r="W14">
            <v>12287960.11305872</v>
          </cell>
          <cell r="X14">
            <v>1372708</v>
          </cell>
          <cell r="Y14">
            <v>1162258</v>
          </cell>
          <cell r="Z14">
            <v>1095519</v>
          </cell>
          <cell r="AA14">
            <v>1026944</v>
          </cell>
          <cell r="AB14">
            <v>1262141.0069140131</v>
          </cell>
          <cell r="AC14">
            <v>927210.24442496838</v>
          </cell>
          <cell r="AD14">
            <v>979240.33498880127</v>
          </cell>
          <cell r="AE14">
            <v>974914.59733177524</v>
          </cell>
          <cell r="AF14">
            <v>801969.61729477067</v>
          </cell>
          <cell r="AG14">
            <v>773025.12416009349</v>
          </cell>
          <cell r="AH14">
            <v>947745.44746323884</v>
          </cell>
          <cell r="AI14">
            <v>964284.74048105953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customers</v>
          </cell>
          <cell r="D16">
            <v>16308186.539481934</v>
          </cell>
          <cell r="E16">
            <v>1360697.23</v>
          </cell>
          <cell r="F16">
            <v>1448466.25</v>
          </cell>
          <cell r="G16">
            <v>1444032.9882043041</v>
          </cell>
          <cell r="H16">
            <v>1082503.75</v>
          </cell>
          <cell r="I16">
            <v>1731122.7999999998</v>
          </cell>
          <cell r="J16">
            <v>1361630.8306553706</v>
          </cell>
          <cell r="K16">
            <v>1581250.0730353491</v>
          </cell>
          <cell r="L16">
            <v>1085907.6833187263</v>
          </cell>
          <cell r="M16">
            <v>1089178.7905346188</v>
          </cell>
          <cell r="N16">
            <v>1258462.6545914889</v>
          </cell>
          <cell r="O16">
            <v>1257777.4856363814</v>
          </cell>
          <cell r="P16">
            <v>1607156.0035056968</v>
          </cell>
          <cell r="T16">
            <v>13</v>
          </cell>
          <cell r="U16" t="str">
            <v>Total Deliveries</v>
          </cell>
          <cell r="W16">
            <v>14293798.925211802</v>
          </cell>
          <cell r="X16">
            <v>1575502</v>
          </cell>
          <cell r="Y16">
            <v>1323433</v>
          </cell>
          <cell r="Z16">
            <v>1259698</v>
          </cell>
          <cell r="AA16">
            <v>1179494</v>
          </cell>
          <cell r="AB16">
            <v>1383960.1713896194</v>
          </cell>
          <cell r="AC16">
            <v>1038789.7555750317</v>
          </cell>
          <cell r="AD16">
            <v>1087674.651864836</v>
          </cell>
          <cell r="AE16">
            <v>1082872.236829292</v>
          </cell>
          <cell r="AF16">
            <v>912676.20995228353</v>
          </cell>
          <cell r="AG16">
            <v>903054.92258252995</v>
          </cell>
          <cell r="AH16">
            <v>1099101.957347356</v>
          </cell>
          <cell r="AI16">
            <v>1447542.0196708541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- 2014 -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327218</v>
          </cell>
          <cell r="E21">
            <v>44657</v>
          </cell>
          <cell r="F21">
            <v>57013</v>
          </cell>
          <cell r="G21">
            <v>39050</v>
          </cell>
          <cell r="H21">
            <v>31695</v>
          </cell>
          <cell r="I21">
            <v>18535</v>
          </cell>
          <cell r="J21">
            <v>15842</v>
          </cell>
          <cell r="K21">
            <v>16112</v>
          </cell>
          <cell r="L21">
            <v>16699</v>
          </cell>
          <cell r="M21">
            <v>15670</v>
          </cell>
          <cell r="N21">
            <v>18284</v>
          </cell>
          <cell r="O21">
            <v>22455</v>
          </cell>
          <cell r="P21">
            <v>31206</v>
          </cell>
          <cell r="T21">
            <v>18</v>
          </cell>
          <cell r="U21" t="str">
            <v>Residential</v>
          </cell>
          <cell r="W21">
            <v>342684</v>
          </cell>
          <cell r="X21">
            <v>53831</v>
          </cell>
          <cell r="Y21">
            <v>43411</v>
          </cell>
          <cell r="Z21">
            <v>39414</v>
          </cell>
          <cell r="AA21">
            <v>35552</v>
          </cell>
          <cell r="AB21">
            <v>20521</v>
          </cell>
          <cell r="AC21">
            <v>16887</v>
          </cell>
          <cell r="AD21">
            <v>15844</v>
          </cell>
          <cell r="AE21">
            <v>14638</v>
          </cell>
          <cell r="AF21">
            <v>14514</v>
          </cell>
          <cell r="AG21">
            <v>19197</v>
          </cell>
          <cell r="AH21">
            <v>28018</v>
          </cell>
          <cell r="AI21">
            <v>40857</v>
          </cell>
        </row>
        <row r="22">
          <cell r="A22">
            <v>19</v>
          </cell>
          <cell r="B22" t="str">
            <v>Commercial</v>
          </cell>
          <cell r="D22">
            <v>5416714</v>
          </cell>
          <cell r="E22">
            <v>473403</v>
          </cell>
          <cell r="F22">
            <v>461789</v>
          </cell>
          <cell r="G22">
            <v>455897</v>
          </cell>
          <cell r="H22">
            <v>473085</v>
          </cell>
          <cell r="I22">
            <v>456815</v>
          </cell>
          <cell r="J22">
            <v>443549</v>
          </cell>
          <cell r="K22">
            <v>444949</v>
          </cell>
          <cell r="L22">
            <v>417580</v>
          </cell>
          <cell r="M22">
            <v>442499</v>
          </cell>
          <cell r="N22">
            <v>464724</v>
          </cell>
          <cell r="O22">
            <v>430302</v>
          </cell>
          <cell r="P22">
            <v>452122</v>
          </cell>
          <cell r="T22">
            <v>19</v>
          </cell>
          <cell r="U22" t="str">
            <v>Commercial</v>
          </cell>
          <cell r="W22">
            <v>1717111</v>
          </cell>
          <cell r="X22">
            <v>154418</v>
          </cell>
          <cell r="Y22">
            <v>122099</v>
          </cell>
          <cell r="Z22">
            <v>129181</v>
          </cell>
          <cell r="AA22">
            <v>121101</v>
          </cell>
          <cell r="AB22">
            <v>104575</v>
          </cell>
          <cell r="AC22">
            <v>97695</v>
          </cell>
          <cell r="AD22">
            <v>95507</v>
          </cell>
          <cell r="AE22">
            <v>96224</v>
          </cell>
          <cell r="AF22">
            <v>99170</v>
          </cell>
          <cell r="AG22">
            <v>114331</v>
          </cell>
          <cell r="AH22">
            <v>127410</v>
          </cell>
          <cell r="AI22">
            <v>455400</v>
          </cell>
        </row>
        <row r="23">
          <cell r="A23">
            <v>20</v>
          </cell>
          <cell r="B23" t="str">
            <v xml:space="preserve">Industrial </v>
          </cell>
          <cell r="D23">
            <v>11002944</v>
          </cell>
          <cell r="E23">
            <v>879240</v>
          </cell>
          <cell r="F23">
            <v>968627</v>
          </cell>
          <cell r="G23">
            <v>987931</v>
          </cell>
          <cell r="H23">
            <v>606842</v>
          </cell>
          <cell r="I23">
            <v>1302340</v>
          </cell>
          <cell r="J23">
            <v>938868</v>
          </cell>
          <cell r="K23">
            <v>1162725</v>
          </cell>
          <cell r="L23">
            <v>680840</v>
          </cell>
          <cell r="M23">
            <v>660309</v>
          </cell>
          <cell r="N23">
            <v>809307</v>
          </cell>
          <cell r="O23">
            <v>838854</v>
          </cell>
          <cell r="P23">
            <v>1167061</v>
          </cell>
          <cell r="T23">
            <v>20</v>
          </cell>
          <cell r="U23" t="str">
            <v xml:space="preserve">Industrial </v>
          </cell>
          <cell r="W23">
            <v>12618508</v>
          </cell>
          <cell r="X23">
            <v>1409634</v>
          </cell>
          <cell r="Y23">
            <v>1193523</v>
          </cell>
          <cell r="Z23">
            <v>1124988</v>
          </cell>
          <cell r="AA23">
            <v>1054569</v>
          </cell>
          <cell r="AB23">
            <v>1296093</v>
          </cell>
          <cell r="AC23">
            <v>952152</v>
          </cell>
          <cell r="AD23">
            <v>1005582</v>
          </cell>
          <cell r="AE23">
            <v>1001140</v>
          </cell>
          <cell r="AF23">
            <v>823543</v>
          </cell>
          <cell r="AG23">
            <v>793820</v>
          </cell>
          <cell r="AH23">
            <v>973240</v>
          </cell>
          <cell r="AI23">
            <v>990224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16746876</v>
          </cell>
          <cell r="E25">
            <v>1397300</v>
          </cell>
          <cell r="F25">
            <v>1487429</v>
          </cell>
          <cell r="G25">
            <v>1482878</v>
          </cell>
          <cell r="H25">
            <v>1111622</v>
          </cell>
          <cell r="I25">
            <v>1777690</v>
          </cell>
          <cell r="J25">
            <v>1398259</v>
          </cell>
          <cell r="K25">
            <v>1623786</v>
          </cell>
          <cell r="L25">
            <v>1115119</v>
          </cell>
          <cell r="M25">
            <v>1118478</v>
          </cell>
          <cell r="N25">
            <v>1292315</v>
          </cell>
          <cell r="O25">
            <v>1291611</v>
          </cell>
          <cell r="P25">
            <v>1650389</v>
          </cell>
          <cell r="T25">
            <v>22</v>
          </cell>
          <cell r="U25" t="str">
            <v>Total Deliveries</v>
          </cell>
          <cell r="W25">
            <v>14678303</v>
          </cell>
          <cell r="X25">
            <v>1617883</v>
          </cell>
          <cell r="Y25">
            <v>1359033</v>
          </cell>
          <cell r="Z25">
            <v>1293583</v>
          </cell>
          <cell r="AA25">
            <v>1211222</v>
          </cell>
          <cell r="AB25">
            <v>1421189</v>
          </cell>
          <cell r="AC25">
            <v>1066734</v>
          </cell>
          <cell r="AD25">
            <v>1116933</v>
          </cell>
          <cell r="AE25">
            <v>1112002</v>
          </cell>
          <cell r="AF25">
            <v>937227</v>
          </cell>
          <cell r="AG25">
            <v>927348</v>
          </cell>
          <cell r="AH25">
            <v>1128668</v>
          </cell>
          <cell r="AI25">
            <v>1486481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16215</v>
          </cell>
          <cell r="F28">
            <v>16301</v>
          </cell>
          <cell r="G28">
            <v>16393</v>
          </cell>
          <cell r="H28">
            <v>16506</v>
          </cell>
          <cell r="I28">
            <v>16384</v>
          </cell>
          <cell r="J28">
            <v>16218</v>
          </cell>
          <cell r="K28">
            <v>15809</v>
          </cell>
          <cell r="L28">
            <v>15820</v>
          </cell>
          <cell r="M28">
            <v>15798</v>
          </cell>
          <cell r="N28">
            <v>15849</v>
          </cell>
          <cell r="O28">
            <v>15934</v>
          </cell>
          <cell r="P28">
            <v>16057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1208615.7366832213</v>
          </cell>
          <cell r="F29">
            <v>1028878.7613204791</v>
          </cell>
          <cell r="G29">
            <v>952460.60960171383</v>
          </cell>
          <cell r="H29">
            <v>869697.3415132924</v>
          </cell>
          <cell r="I29">
            <v>955951.79666958808</v>
          </cell>
          <cell r="J29">
            <v>910065.92657512904</v>
          </cell>
          <cell r="K29">
            <v>910202.25922679913</v>
          </cell>
          <cell r="L29">
            <v>1045063.2973025611</v>
          </cell>
          <cell r="M29">
            <v>702565.97526536172</v>
          </cell>
          <cell r="N29">
            <v>896640.08179959096</v>
          </cell>
          <cell r="O29">
            <v>881187.65215697733</v>
          </cell>
          <cell r="P29">
            <v>988173.04508715554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1241128</v>
          </cell>
          <cell r="F30">
            <v>1056556</v>
          </cell>
          <cell r="G30">
            <v>978082</v>
          </cell>
          <cell r="H30">
            <v>893092</v>
          </cell>
          <cell r="I30">
            <v>981667</v>
          </cell>
          <cell r="J30">
            <v>934547</v>
          </cell>
          <cell r="K30">
            <v>934687</v>
          </cell>
          <cell r="L30">
            <v>1073176</v>
          </cell>
          <cell r="M30">
            <v>721465</v>
          </cell>
          <cell r="N30">
            <v>920760</v>
          </cell>
          <cell r="O30">
            <v>904892</v>
          </cell>
          <cell r="P30">
            <v>1014755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14722</v>
          </cell>
          <cell r="F34">
            <v>14758</v>
          </cell>
          <cell r="G34">
            <v>14794</v>
          </cell>
          <cell r="H34">
            <v>14825</v>
          </cell>
          <cell r="I34">
            <v>14827</v>
          </cell>
          <cell r="J34">
            <v>14814</v>
          </cell>
          <cell r="K34">
            <v>14808</v>
          </cell>
          <cell r="L34">
            <v>14806</v>
          </cell>
          <cell r="M34">
            <v>14805</v>
          </cell>
          <cell r="N34">
            <v>14817</v>
          </cell>
          <cell r="O34">
            <v>14832</v>
          </cell>
          <cell r="P34">
            <v>14854</v>
          </cell>
          <cell r="T34">
            <v>31</v>
          </cell>
          <cell r="U34" t="str">
            <v>Residential</v>
          </cell>
          <cell r="X34">
            <v>14264</v>
          </cell>
          <cell r="Y34">
            <v>14313</v>
          </cell>
          <cell r="Z34">
            <v>14349</v>
          </cell>
          <cell r="AA34">
            <v>14384</v>
          </cell>
          <cell r="AB34">
            <v>14387</v>
          </cell>
          <cell r="AC34">
            <v>14368</v>
          </cell>
          <cell r="AD34">
            <v>14356</v>
          </cell>
          <cell r="AE34">
            <v>14357</v>
          </cell>
          <cell r="AF34">
            <v>14364</v>
          </cell>
          <cell r="AG34">
            <v>14374</v>
          </cell>
          <cell r="AH34">
            <v>14389</v>
          </cell>
          <cell r="AI34">
            <v>14412</v>
          </cell>
        </row>
        <row r="35">
          <cell r="A35">
            <v>32</v>
          </cell>
          <cell r="B35" t="str">
            <v>Commercial</v>
          </cell>
          <cell r="E35">
            <v>1355</v>
          </cell>
          <cell r="F35">
            <v>1354</v>
          </cell>
          <cell r="G35">
            <v>1354</v>
          </cell>
          <cell r="H35">
            <v>1354</v>
          </cell>
          <cell r="I35">
            <v>1354</v>
          </cell>
          <cell r="J35">
            <v>1349</v>
          </cell>
          <cell r="K35">
            <v>1349</v>
          </cell>
          <cell r="L35">
            <v>1350</v>
          </cell>
          <cell r="M35">
            <v>1351</v>
          </cell>
          <cell r="N35">
            <v>1354</v>
          </cell>
          <cell r="O35">
            <v>1357</v>
          </cell>
          <cell r="P35">
            <v>1360</v>
          </cell>
          <cell r="T35">
            <v>32</v>
          </cell>
          <cell r="U35" t="str">
            <v>Commercial</v>
          </cell>
          <cell r="X35">
            <v>1349</v>
          </cell>
          <cell r="Y35">
            <v>1342</v>
          </cell>
          <cell r="Z35">
            <v>1346</v>
          </cell>
          <cell r="AA35">
            <v>1360</v>
          </cell>
          <cell r="AB35">
            <v>1359</v>
          </cell>
          <cell r="AC35">
            <v>1354</v>
          </cell>
          <cell r="AD35">
            <v>1351</v>
          </cell>
          <cell r="AE35">
            <v>1356</v>
          </cell>
          <cell r="AF35">
            <v>1363</v>
          </cell>
          <cell r="AG35">
            <v>1365</v>
          </cell>
          <cell r="AH35">
            <v>1364</v>
          </cell>
          <cell r="AI35">
            <v>1363</v>
          </cell>
        </row>
        <row r="36">
          <cell r="A36">
            <v>33</v>
          </cell>
          <cell r="B36" t="str">
            <v xml:space="preserve">Industrial </v>
          </cell>
          <cell r="E36">
            <v>67</v>
          </cell>
          <cell r="F36">
            <v>67</v>
          </cell>
          <cell r="G36">
            <v>67</v>
          </cell>
          <cell r="H36">
            <v>66</v>
          </cell>
          <cell r="I36">
            <v>67</v>
          </cell>
          <cell r="J36">
            <v>67</v>
          </cell>
          <cell r="K36">
            <v>67</v>
          </cell>
          <cell r="L36">
            <v>67</v>
          </cell>
          <cell r="M36">
            <v>68</v>
          </cell>
          <cell r="N36">
            <v>69</v>
          </cell>
          <cell r="O36">
            <v>69</v>
          </cell>
          <cell r="P36">
            <v>69</v>
          </cell>
          <cell r="T36">
            <v>33</v>
          </cell>
          <cell r="U36" t="str">
            <v xml:space="preserve">Industrial </v>
          </cell>
          <cell r="X36">
            <v>59</v>
          </cell>
          <cell r="Y36">
            <v>63</v>
          </cell>
          <cell r="Z36">
            <v>61</v>
          </cell>
          <cell r="AA36">
            <v>60</v>
          </cell>
          <cell r="AB36">
            <v>60</v>
          </cell>
          <cell r="AC36">
            <v>60</v>
          </cell>
          <cell r="AD36">
            <v>60</v>
          </cell>
          <cell r="AE36">
            <v>60</v>
          </cell>
          <cell r="AF36">
            <v>60</v>
          </cell>
          <cell r="AG36">
            <v>60</v>
          </cell>
          <cell r="AH36">
            <v>60</v>
          </cell>
          <cell r="AI36">
            <v>60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16144</v>
          </cell>
          <cell r="F38">
            <v>16179</v>
          </cell>
          <cell r="G38">
            <v>16215</v>
          </cell>
          <cell r="H38">
            <v>16245</v>
          </cell>
          <cell r="I38">
            <v>16248</v>
          </cell>
          <cell r="J38">
            <v>16230</v>
          </cell>
          <cell r="K38">
            <v>16224</v>
          </cell>
          <cell r="L38">
            <v>16223</v>
          </cell>
          <cell r="M38">
            <v>16224</v>
          </cell>
          <cell r="N38">
            <v>16240</v>
          </cell>
          <cell r="O38">
            <v>16258</v>
          </cell>
          <cell r="P38">
            <v>16283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15672</v>
          </cell>
          <cell r="Y38">
            <v>15718</v>
          </cell>
          <cell r="Z38">
            <v>15756</v>
          </cell>
          <cell r="AA38">
            <v>15804</v>
          </cell>
          <cell r="AB38">
            <v>15806</v>
          </cell>
          <cell r="AC38">
            <v>15782</v>
          </cell>
          <cell r="AD38">
            <v>15767</v>
          </cell>
          <cell r="AE38">
            <v>15773</v>
          </cell>
          <cell r="AF38">
            <v>15787</v>
          </cell>
          <cell r="AG38">
            <v>15799</v>
          </cell>
          <cell r="AH38">
            <v>15813</v>
          </cell>
          <cell r="AI38">
            <v>15835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43486.8</v>
          </cell>
          <cell r="F41">
            <v>99006.420000000013</v>
          </cell>
          <cell r="G41">
            <v>137033.17820430425</v>
          </cell>
          <cell r="H41">
            <v>167898.30820430425</v>
          </cell>
          <cell r="I41">
            <v>185947.67820430425</v>
          </cell>
          <cell r="J41">
            <v>201374.59416496253</v>
          </cell>
          <cell r="K41">
            <v>217064.14524101667</v>
          </cell>
          <cell r="L41">
            <v>233325.31964943034</v>
          </cell>
          <cell r="M41">
            <v>248584.83858993088</v>
          </cell>
          <cell r="N41">
            <v>266389.88289804268</v>
          </cell>
          <cell r="O41">
            <v>288256.95856266434</v>
          </cell>
          <cell r="P41">
            <v>318645.11709806212</v>
          </cell>
          <cell r="T41">
            <v>38</v>
          </cell>
          <cell r="U41" t="str">
            <v>Residential</v>
          </cell>
          <cell r="X41">
            <v>52421</v>
          </cell>
          <cell r="Y41">
            <v>94695</v>
          </cell>
          <cell r="Z41">
            <v>133077</v>
          </cell>
          <cell r="AA41">
            <v>167698</v>
          </cell>
          <cell r="AB41">
            <v>187681.73746226507</v>
          </cell>
          <cell r="AC41">
            <v>204125.88976531307</v>
          </cell>
          <cell r="AD41">
            <v>219554.75333528093</v>
          </cell>
          <cell r="AE41">
            <v>233809.40325250753</v>
          </cell>
          <cell r="AF41">
            <v>247943.59353393706</v>
          </cell>
          <cell r="AG41">
            <v>266637.8188723342</v>
          </cell>
          <cell r="AH41">
            <v>293922.07245106628</v>
          </cell>
          <cell r="AI41">
            <v>333709.19875352998</v>
          </cell>
        </row>
        <row r="42">
          <cell r="A42">
            <v>39</v>
          </cell>
          <cell r="B42" t="str">
            <v>Commercial</v>
          </cell>
          <cell r="E42">
            <v>461002.04</v>
          </cell>
          <cell r="F42">
            <v>910694.8</v>
          </cell>
          <cell r="G42">
            <v>1354649.03</v>
          </cell>
          <cell r="H42">
            <v>1815341.8900000001</v>
          </cell>
          <cell r="I42">
            <v>2260190.37</v>
          </cell>
          <cell r="J42">
            <v>2692119.9639234589</v>
          </cell>
          <cell r="K42">
            <v>3125413.7607878079</v>
          </cell>
          <cell r="L42">
            <v>3532054.8163920538</v>
          </cell>
          <cell r="M42">
            <v>3962962.1101889182</v>
          </cell>
          <cell r="N42">
            <v>4415512.504579803</v>
          </cell>
          <cell r="O42">
            <v>4834542.7899045665</v>
          </cell>
          <cell r="P42">
            <v>5274821.3954163007</v>
          </cell>
          <cell r="T42">
            <v>39</v>
          </cell>
          <cell r="U42" t="str">
            <v>Commercial</v>
          </cell>
          <cell r="X42">
            <v>150373</v>
          </cell>
          <cell r="Y42">
            <v>269274</v>
          </cell>
          <cell r="Z42">
            <v>395071</v>
          </cell>
          <cell r="AA42">
            <v>513000</v>
          </cell>
          <cell r="AB42">
            <v>614835.4270133411</v>
          </cell>
          <cell r="AC42">
            <v>709970.78586035641</v>
          </cell>
          <cell r="AD42">
            <v>802976.23916642321</v>
          </cell>
          <cell r="AE42">
            <v>896679.22874671337</v>
          </cell>
          <cell r="AF42">
            <v>993251.63112279668</v>
          </cell>
          <cell r="AG42">
            <v>1104587.2042068359</v>
          </cell>
          <cell r="AH42">
            <v>1228659.4605122211</v>
          </cell>
          <cell r="AI42">
            <v>1672129.6133995519</v>
          </cell>
        </row>
        <row r="43">
          <cell r="A43">
            <v>40</v>
          </cell>
          <cell r="B43" t="str">
            <v xml:space="preserve">Industrial </v>
          </cell>
          <cell r="E43">
            <v>856208.39</v>
          </cell>
          <cell r="F43">
            <v>1799462.26</v>
          </cell>
          <cell r="G43">
            <v>2761514.26</v>
          </cell>
          <cell r="H43">
            <v>3352460.0199999996</v>
          </cell>
          <cell r="I43">
            <v>4620684.97</v>
          </cell>
          <cell r="J43">
            <v>5534959.2907712534</v>
          </cell>
          <cell r="K43">
            <v>6667226.0158661995</v>
          </cell>
          <cell r="L43">
            <v>7330231.4691722663</v>
          </cell>
          <cell r="M43">
            <v>7973243.4469695203</v>
          </cell>
          <cell r="N43">
            <v>8761350.6628620122</v>
          </cell>
          <cell r="O43">
            <v>9578230.7875090074</v>
          </cell>
          <cell r="P43">
            <v>10714720.026967572</v>
          </cell>
          <cell r="T43">
            <v>40</v>
          </cell>
          <cell r="U43" t="str">
            <v xml:space="preserve">Industrial </v>
          </cell>
          <cell r="X43">
            <v>1372708</v>
          </cell>
          <cell r="Y43">
            <v>2534966</v>
          </cell>
          <cell r="Z43">
            <v>3630485</v>
          </cell>
          <cell r="AA43">
            <v>4657429</v>
          </cell>
          <cell r="AB43">
            <v>5919570.0069140131</v>
          </cell>
          <cell r="AC43">
            <v>6846780.2513389811</v>
          </cell>
          <cell r="AD43">
            <v>7826020.5863277819</v>
          </cell>
          <cell r="AE43">
            <v>8800935.1836595573</v>
          </cell>
          <cell r="AF43">
            <v>9602904.800954327</v>
          </cell>
          <cell r="AG43">
            <v>10375929.925114421</v>
          </cell>
          <cell r="AH43">
            <v>11323675.37257766</v>
          </cell>
          <cell r="AI43">
            <v>12287960.11305872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customers</v>
          </cell>
          <cell r="E45">
            <v>1360697.23</v>
          </cell>
          <cell r="F45">
            <v>2809163.48</v>
          </cell>
          <cell r="G45">
            <v>4253196.4682043046</v>
          </cell>
          <cell r="H45">
            <v>5335700.2182043036</v>
          </cell>
          <cell r="I45">
            <v>7066823.0182043035</v>
          </cell>
          <cell r="J45">
            <v>8428453.8488596752</v>
          </cell>
          <cell r="K45">
            <v>10009703.921895023</v>
          </cell>
          <cell r="L45">
            <v>11095611.60521375</v>
          </cell>
          <cell r="M45">
            <v>12184790.395748369</v>
          </cell>
          <cell r="N45">
            <v>13443253.050339859</v>
          </cell>
          <cell r="O45">
            <v>14701030.535976239</v>
          </cell>
          <cell r="P45">
            <v>16308186.539481934</v>
          </cell>
          <cell r="T45">
            <v>42</v>
          </cell>
          <cell r="U45" t="str">
            <v>Total customers</v>
          </cell>
          <cell r="X45">
            <v>1575502</v>
          </cell>
          <cell r="Y45">
            <v>2898935</v>
          </cell>
          <cell r="Z45">
            <v>4158633</v>
          </cell>
          <cell r="AA45">
            <v>5338127</v>
          </cell>
          <cell r="AB45">
            <v>6722087.1713896189</v>
          </cell>
          <cell r="AC45">
            <v>7760876.9269646509</v>
          </cell>
          <cell r="AD45">
            <v>8848551.5788294859</v>
          </cell>
          <cell r="AE45">
            <v>9931423.815658778</v>
          </cell>
          <cell r="AF45">
            <v>10844100.025611062</v>
          </cell>
          <cell r="AG45">
            <v>11747154.948193591</v>
          </cell>
          <cell r="AH45">
            <v>12846256.905540947</v>
          </cell>
          <cell r="AI45">
            <v>14293798.925211802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- 2014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44657</v>
          </cell>
          <cell r="F48">
            <v>101670</v>
          </cell>
          <cell r="G48">
            <v>140720</v>
          </cell>
          <cell r="H48">
            <v>172415</v>
          </cell>
          <cell r="I48">
            <v>190950</v>
          </cell>
          <cell r="J48">
            <v>206792</v>
          </cell>
          <cell r="K48">
            <v>222904</v>
          </cell>
          <cell r="L48">
            <v>239603</v>
          </cell>
          <cell r="M48">
            <v>255273</v>
          </cell>
          <cell r="N48">
            <v>273557</v>
          </cell>
          <cell r="O48">
            <v>296012</v>
          </cell>
          <cell r="P48">
            <v>327218</v>
          </cell>
          <cell r="T48">
            <v>45</v>
          </cell>
          <cell r="U48" t="str">
            <v>Residential</v>
          </cell>
          <cell r="X48">
            <v>53831</v>
          </cell>
          <cell r="Y48">
            <v>97242</v>
          </cell>
          <cell r="Z48">
            <v>136656</v>
          </cell>
          <cell r="AA48">
            <v>172208</v>
          </cell>
          <cell r="AB48">
            <v>192729</v>
          </cell>
          <cell r="AC48">
            <v>209616</v>
          </cell>
          <cell r="AD48">
            <v>225460</v>
          </cell>
          <cell r="AE48">
            <v>240098</v>
          </cell>
          <cell r="AF48">
            <v>254612</v>
          </cell>
          <cell r="AG48">
            <v>273809</v>
          </cell>
          <cell r="AH48">
            <v>301827</v>
          </cell>
          <cell r="AI48">
            <v>342684</v>
          </cell>
        </row>
        <row r="49">
          <cell r="A49">
            <v>46</v>
          </cell>
          <cell r="B49" t="str">
            <v>Commercial</v>
          </cell>
          <cell r="E49">
            <v>473403</v>
          </cell>
          <cell r="F49">
            <v>935192</v>
          </cell>
          <cell r="G49">
            <v>1391089</v>
          </cell>
          <cell r="H49">
            <v>1864174</v>
          </cell>
          <cell r="I49">
            <v>2320989</v>
          </cell>
          <cell r="J49">
            <v>2764538</v>
          </cell>
          <cell r="K49">
            <v>3209487</v>
          </cell>
          <cell r="L49">
            <v>3627067</v>
          </cell>
          <cell r="M49">
            <v>4069566</v>
          </cell>
          <cell r="N49">
            <v>4534290</v>
          </cell>
          <cell r="O49">
            <v>4964592</v>
          </cell>
          <cell r="P49">
            <v>5416714</v>
          </cell>
          <cell r="T49">
            <v>46</v>
          </cell>
          <cell r="U49" t="str">
            <v>Commercial</v>
          </cell>
          <cell r="X49">
            <v>154418</v>
          </cell>
          <cell r="Y49">
            <v>276517</v>
          </cell>
          <cell r="Z49">
            <v>405698</v>
          </cell>
          <cell r="AA49">
            <v>526799</v>
          </cell>
          <cell r="AB49">
            <v>631374</v>
          </cell>
          <cell r="AC49">
            <v>729069</v>
          </cell>
          <cell r="AD49">
            <v>824576</v>
          </cell>
          <cell r="AE49">
            <v>920800</v>
          </cell>
          <cell r="AF49">
            <v>1019970</v>
          </cell>
          <cell r="AG49">
            <v>1134301</v>
          </cell>
          <cell r="AH49">
            <v>1261711</v>
          </cell>
          <cell r="AI49">
            <v>1717111</v>
          </cell>
        </row>
        <row r="50">
          <cell r="A50">
            <v>47</v>
          </cell>
          <cell r="B50" t="str">
            <v xml:space="preserve">Industrial </v>
          </cell>
          <cell r="E50">
            <v>879240</v>
          </cell>
          <cell r="F50">
            <v>1847867</v>
          </cell>
          <cell r="G50">
            <v>2835798</v>
          </cell>
          <cell r="H50">
            <v>3442640</v>
          </cell>
          <cell r="I50">
            <v>4744980</v>
          </cell>
          <cell r="J50">
            <v>5683848</v>
          </cell>
          <cell r="K50">
            <v>6846573</v>
          </cell>
          <cell r="L50">
            <v>7527413</v>
          </cell>
          <cell r="M50">
            <v>8187722</v>
          </cell>
          <cell r="N50">
            <v>8997029</v>
          </cell>
          <cell r="O50">
            <v>9835883</v>
          </cell>
          <cell r="P50">
            <v>11002944</v>
          </cell>
          <cell r="T50">
            <v>47</v>
          </cell>
          <cell r="U50" t="str">
            <v xml:space="preserve">Industrial </v>
          </cell>
          <cell r="X50">
            <v>1409634</v>
          </cell>
          <cell r="Y50">
            <v>2603157</v>
          </cell>
          <cell r="Z50">
            <v>3728145</v>
          </cell>
          <cell r="AA50">
            <v>4782714</v>
          </cell>
          <cell r="AB50">
            <v>6078807</v>
          </cell>
          <cell r="AC50">
            <v>7030959</v>
          </cell>
          <cell r="AD50">
            <v>8036541</v>
          </cell>
          <cell r="AE50">
            <v>9037681</v>
          </cell>
          <cell r="AF50">
            <v>9861224</v>
          </cell>
          <cell r="AG50">
            <v>10655044</v>
          </cell>
          <cell r="AH50">
            <v>11628284</v>
          </cell>
          <cell r="AI50">
            <v>12618508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1397300</v>
          </cell>
          <cell r="F52">
            <v>2884729</v>
          </cell>
          <cell r="G52">
            <v>4367607</v>
          </cell>
          <cell r="H52">
            <v>5479229</v>
          </cell>
          <cell r="I52">
            <v>7256919</v>
          </cell>
          <cell r="J52">
            <v>8655178</v>
          </cell>
          <cell r="K52">
            <v>10278964</v>
          </cell>
          <cell r="L52">
            <v>11394083</v>
          </cell>
          <cell r="M52">
            <v>12512561</v>
          </cell>
          <cell r="N52">
            <v>13804876</v>
          </cell>
          <cell r="O52">
            <v>15096487</v>
          </cell>
          <cell r="P52">
            <v>16746876</v>
          </cell>
          <cell r="T52">
            <v>49</v>
          </cell>
          <cell r="U52" t="str">
            <v>Total Volume</v>
          </cell>
          <cell r="W52">
            <v>0</v>
          </cell>
          <cell r="X52">
            <v>1617883</v>
          </cell>
          <cell r="Y52">
            <v>2976916</v>
          </cell>
          <cell r="Z52">
            <v>4270499</v>
          </cell>
          <cell r="AA52">
            <v>5481721</v>
          </cell>
          <cell r="AB52">
            <v>6902910</v>
          </cell>
          <cell r="AC52">
            <v>7969644</v>
          </cell>
          <cell r="AD52">
            <v>9086577</v>
          </cell>
          <cell r="AE52">
            <v>10198579</v>
          </cell>
          <cell r="AF52">
            <v>11135806</v>
          </cell>
          <cell r="AG52">
            <v>12063154</v>
          </cell>
          <cell r="AH52">
            <v>13191822</v>
          </cell>
          <cell r="AI52">
            <v>14678303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16215</v>
          </cell>
          <cell r="F55">
            <v>16258</v>
          </cell>
          <cell r="G55">
            <v>16303</v>
          </cell>
          <cell r="H55">
            <v>16354</v>
          </cell>
          <cell r="I55">
            <v>16360</v>
          </cell>
          <cell r="J55">
            <v>16336</v>
          </cell>
          <cell r="K55">
            <v>16261</v>
          </cell>
          <cell r="L55">
            <v>16206</v>
          </cell>
          <cell r="M55">
            <v>16160</v>
          </cell>
          <cell r="N55">
            <v>16129</v>
          </cell>
          <cell r="O55">
            <v>16112</v>
          </cell>
          <cell r="P55">
            <v>16107</v>
          </cell>
        </row>
        <row r="56">
          <cell r="A56">
            <v>53</v>
          </cell>
          <cell r="B56" t="str">
            <v>Cumulative Budget YTD Volume (Mcfs)</v>
          </cell>
          <cell r="E56">
            <v>1208615.7366832213</v>
          </cell>
          <cell r="F56">
            <v>2237494.4980037003</v>
          </cell>
          <cell r="G56">
            <v>3189955.107605414</v>
          </cell>
          <cell r="H56">
            <v>4059652.4491187064</v>
          </cell>
          <cell r="I56">
            <v>5015604.2457882948</v>
          </cell>
          <cell r="J56">
            <v>5925670.1723634237</v>
          </cell>
          <cell r="K56">
            <v>6835872.4315902228</v>
          </cell>
          <cell r="L56">
            <v>7880935.7288927836</v>
          </cell>
          <cell r="M56">
            <v>8583501.7041581459</v>
          </cell>
          <cell r="N56">
            <v>9480141.7859577369</v>
          </cell>
          <cell r="O56">
            <v>10361329.438114714</v>
          </cell>
          <cell r="P56">
            <v>11349502.483201869</v>
          </cell>
        </row>
        <row r="57">
          <cell r="A57">
            <v>54</v>
          </cell>
          <cell r="B57" t="str">
            <v>Cumulative YTD Budget Volume (Dts) * 1.0269</v>
          </cell>
          <cell r="E57">
            <v>1241128</v>
          </cell>
          <cell r="F57">
            <v>2297684</v>
          </cell>
          <cell r="G57">
            <v>3275766</v>
          </cell>
          <cell r="H57">
            <v>4168858</v>
          </cell>
          <cell r="I57">
            <v>5150525</v>
          </cell>
          <cell r="J57">
            <v>6085072</v>
          </cell>
          <cell r="K57">
            <v>7019759</v>
          </cell>
          <cell r="L57">
            <v>8092935</v>
          </cell>
          <cell r="M57">
            <v>8814400</v>
          </cell>
          <cell r="N57">
            <v>9735160</v>
          </cell>
          <cell r="O57">
            <v>10640052</v>
          </cell>
          <cell r="P57">
            <v>11654807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52046</v>
          </cell>
          <cell r="D5">
            <v>624552</v>
          </cell>
          <cell r="E5">
            <v>51478</v>
          </cell>
          <cell r="F5">
            <v>51615</v>
          </cell>
          <cell r="G5">
            <v>51853</v>
          </cell>
          <cell r="H5">
            <v>52017</v>
          </cell>
          <cell r="I5">
            <v>51908</v>
          </cell>
          <cell r="J5">
            <v>51995</v>
          </cell>
          <cell r="K5">
            <v>52029</v>
          </cell>
          <cell r="L5">
            <v>52136</v>
          </cell>
          <cell r="M5">
            <v>52136</v>
          </cell>
          <cell r="N5">
            <v>52229</v>
          </cell>
          <cell r="O5">
            <v>52501</v>
          </cell>
          <cell r="P5">
            <v>52655</v>
          </cell>
          <cell r="T5">
            <v>2</v>
          </cell>
          <cell r="U5" t="str">
            <v>Residential</v>
          </cell>
          <cell r="X5">
            <v>50512</v>
          </cell>
          <cell r="Y5">
            <v>50676</v>
          </cell>
          <cell r="Z5">
            <v>50950</v>
          </cell>
          <cell r="AA5">
            <v>50996</v>
          </cell>
          <cell r="AB5">
            <v>50970</v>
          </cell>
          <cell r="AC5">
            <v>50850</v>
          </cell>
          <cell r="AD5">
            <v>50837</v>
          </cell>
          <cell r="AE5">
            <v>50574</v>
          </cell>
          <cell r="AF5">
            <v>50661</v>
          </cell>
          <cell r="AG5">
            <v>50749</v>
          </cell>
          <cell r="AH5">
            <v>50962</v>
          </cell>
          <cell r="AI5">
            <v>51280</v>
          </cell>
        </row>
        <row r="6">
          <cell r="A6">
            <v>3</v>
          </cell>
          <cell r="B6" t="str">
            <v>Commercial</v>
          </cell>
          <cell r="C6">
            <v>4249</v>
          </cell>
          <cell r="D6">
            <v>50982</v>
          </cell>
          <cell r="E6">
            <v>4270</v>
          </cell>
          <cell r="F6">
            <v>4287</v>
          </cell>
          <cell r="G6">
            <v>4306</v>
          </cell>
          <cell r="H6">
            <v>4281</v>
          </cell>
          <cell r="I6">
            <v>4264</v>
          </cell>
          <cell r="J6">
            <v>4246</v>
          </cell>
          <cell r="K6">
            <v>4234</v>
          </cell>
          <cell r="L6">
            <v>4223</v>
          </cell>
          <cell r="M6">
            <v>4211</v>
          </cell>
          <cell r="N6">
            <v>4201</v>
          </cell>
          <cell r="O6">
            <v>4230</v>
          </cell>
          <cell r="P6">
            <v>4229</v>
          </cell>
          <cell r="T6">
            <v>3</v>
          </cell>
          <cell r="U6" t="str">
            <v>Commercial</v>
          </cell>
          <cell r="X6">
            <v>4401</v>
          </cell>
          <cell r="Y6">
            <v>4413</v>
          </cell>
          <cell r="Z6">
            <v>4431</v>
          </cell>
          <cell r="AA6">
            <v>4420</v>
          </cell>
          <cell r="AB6">
            <v>4390</v>
          </cell>
          <cell r="AC6">
            <v>4365</v>
          </cell>
          <cell r="AD6">
            <v>4364</v>
          </cell>
          <cell r="AE6">
            <v>4341</v>
          </cell>
          <cell r="AF6">
            <v>4325</v>
          </cell>
          <cell r="AG6">
            <v>4330</v>
          </cell>
          <cell r="AH6">
            <v>4317</v>
          </cell>
          <cell r="AI6">
            <v>4320</v>
          </cell>
        </row>
        <row r="7">
          <cell r="A7">
            <v>4</v>
          </cell>
          <cell r="B7" t="str">
            <v xml:space="preserve">Industrial </v>
          </cell>
          <cell r="C7">
            <v>1633</v>
          </cell>
          <cell r="D7">
            <v>19592</v>
          </cell>
          <cell r="E7">
            <v>1527</v>
          </cell>
          <cell r="F7">
            <v>1546</v>
          </cell>
          <cell r="G7">
            <v>1564</v>
          </cell>
          <cell r="H7">
            <v>1587</v>
          </cell>
          <cell r="I7">
            <v>1607</v>
          </cell>
          <cell r="J7">
            <v>1631</v>
          </cell>
          <cell r="K7">
            <v>1643</v>
          </cell>
          <cell r="L7">
            <v>1657</v>
          </cell>
          <cell r="M7">
            <v>1690</v>
          </cell>
          <cell r="N7">
            <v>1706</v>
          </cell>
          <cell r="O7">
            <v>1717</v>
          </cell>
          <cell r="P7">
            <v>1717</v>
          </cell>
          <cell r="T7">
            <v>4</v>
          </cell>
          <cell r="U7" t="str">
            <v>Industrial firm</v>
          </cell>
          <cell r="X7">
            <v>1205</v>
          </cell>
          <cell r="Y7">
            <v>1222</v>
          </cell>
          <cell r="Z7">
            <v>1235</v>
          </cell>
          <cell r="AA7">
            <v>1249</v>
          </cell>
          <cell r="AB7">
            <v>1277</v>
          </cell>
          <cell r="AC7">
            <v>1292</v>
          </cell>
          <cell r="AD7">
            <v>1310</v>
          </cell>
          <cell r="AE7">
            <v>1344</v>
          </cell>
          <cell r="AF7">
            <v>1387</v>
          </cell>
          <cell r="AG7">
            <v>1423</v>
          </cell>
          <cell r="AH7">
            <v>1437</v>
          </cell>
          <cell r="AI7">
            <v>1470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>
            <v>6</v>
          </cell>
          <cell r="B9" t="str">
            <v>Total customers</v>
          </cell>
          <cell r="C9">
            <v>57928</v>
          </cell>
          <cell r="D9">
            <v>695126</v>
          </cell>
          <cell r="E9">
            <v>57275</v>
          </cell>
          <cell r="F9">
            <v>57448</v>
          </cell>
          <cell r="G9">
            <v>57723</v>
          </cell>
          <cell r="H9">
            <v>57885</v>
          </cell>
          <cell r="I9">
            <v>57779</v>
          </cell>
          <cell r="J9">
            <v>57872</v>
          </cell>
          <cell r="K9">
            <v>57906</v>
          </cell>
          <cell r="L9">
            <v>58016</v>
          </cell>
          <cell r="M9">
            <v>58037</v>
          </cell>
          <cell r="N9">
            <v>58136</v>
          </cell>
          <cell r="O9">
            <v>58448</v>
          </cell>
          <cell r="P9">
            <v>58601</v>
          </cell>
          <cell r="T9">
            <v>6</v>
          </cell>
          <cell r="U9" t="str">
            <v>Total customers</v>
          </cell>
          <cell r="X9">
            <v>56118</v>
          </cell>
          <cell r="Y9">
            <v>56311</v>
          </cell>
          <cell r="Z9">
            <v>56616</v>
          </cell>
          <cell r="AA9">
            <v>56665</v>
          </cell>
          <cell r="AB9">
            <v>56637</v>
          </cell>
          <cell r="AC9">
            <v>56507</v>
          </cell>
          <cell r="AD9">
            <v>56511</v>
          </cell>
          <cell r="AE9">
            <v>56259</v>
          </cell>
          <cell r="AF9">
            <v>56373</v>
          </cell>
          <cell r="AG9">
            <v>56502</v>
          </cell>
          <cell r="AH9">
            <v>56716</v>
          </cell>
          <cell r="AI9">
            <v>57070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- 2015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1215133.0395364724</v>
          </cell>
          <cell r="E12">
            <v>172785.19330022397</v>
          </cell>
          <cell r="F12">
            <v>186091.1539585159</v>
          </cell>
          <cell r="G12">
            <v>142599.10896874429</v>
          </cell>
          <cell r="H12">
            <v>105427.84789171293</v>
          </cell>
          <cell r="I12">
            <v>79997.259713701438</v>
          </cell>
          <cell r="J12">
            <v>66233.031453890348</v>
          </cell>
          <cell r="K12">
            <v>64473</v>
          </cell>
          <cell r="L12">
            <v>62570</v>
          </cell>
          <cell r="M12">
            <v>64969</v>
          </cell>
          <cell r="N12">
            <v>67082.48125426039</v>
          </cell>
          <cell r="O12">
            <v>84019.96299542312</v>
          </cell>
          <cell r="P12">
            <v>118885</v>
          </cell>
          <cell r="T12">
            <v>9</v>
          </cell>
          <cell r="U12" t="str">
            <v>Residential</v>
          </cell>
          <cell r="W12">
            <v>1248047.266335573</v>
          </cell>
          <cell r="X12">
            <v>171895</v>
          </cell>
          <cell r="Y12">
            <v>166968</v>
          </cell>
          <cell r="Z12">
            <v>132612</v>
          </cell>
          <cell r="AA12">
            <v>116118</v>
          </cell>
          <cell r="AB12">
            <v>85176</v>
          </cell>
          <cell r="AC12">
            <v>71965</v>
          </cell>
          <cell r="AD12">
            <v>66923</v>
          </cell>
          <cell r="AE12">
            <v>57900.266335573084</v>
          </cell>
          <cell r="AF12">
            <v>62793</v>
          </cell>
          <cell r="AG12">
            <v>67838</v>
          </cell>
          <cell r="AH12">
            <v>95618</v>
          </cell>
          <cell r="AI12">
            <v>152241</v>
          </cell>
        </row>
        <row r="13">
          <cell r="A13">
            <v>10</v>
          </cell>
          <cell r="B13" t="str">
            <v>Commercial</v>
          </cell>
          <cell r="D13">
            <v>2354482.4883630341</v>
          </cell>
          <cell r="E13">
            <v>256252.56500146046</v>
          </cell>
          <cell r="F13">
            <v>298732.63414159114</v>
          </cell>
          <cell r="G13">
            <v>259924.54669393311</v>
          </cell>
          <cell r="H13">
            <v>216058.59382607846</v>
          </cell>
          <cell r="I13">
            <v>194466.8770084721</v>
          </cell>
          <cell r="J13">
            <v>154507.35222514364</v>
          </cell>
          <cell r="K13">
            <v>155806</v>
          </cell>
          <cell r="L13">
            <v>153768</v>
          </cell>
          <cell r="M13">
            <v>147152</v>
          </cell>
          <cell r="N13">
            <v>157801.34287661893</v>
          </cell>
          <cell r="O13">
            <v>164491.5765897361</v>
          </cell>
          <cell r="P13">
            <v>195521</v>
          </cell>
          <cell r="T13">
            <v>10</v>
          </cell>
          <cell r="U13" t="str">
            <v>Commercial</v>
          </cell>
          <cell r="W13">
            <v>2528529.3482325445</v>
          </cell>
          <cell r="X13">
            <v>274480</v>
          </cell>
          <cell r="Y13">
            <v>260343</v>
          </cell>
          <cell r="Z13">
            <v>244370</v>
          </cell>
          <cell r="AA13">
            <v>227857</v>
          </cell>
          <cell r="AB13">
            <v>197949</v>
          </cell>
          <cell r="AC13">
            <v>179082</v>
          </cell>
          <cell r="AD13">
            <v>184305</v>
          </cell>
          <cell r="AE13">
            <v>158651.34823254452</v>
          </cell>
          <cell r="AF13">
            <v>161825</v>
          </cell>
          <cell r="AG13">
            <v>179455</v>
          </cell>
          <cell r="AH13">
            <v>208256</v>
          </cell>
          <cell r="AI13">
            <v>251956</v>
          </cell>
        </row>
        <row r="14">
          <cell r="A14">
            <v>11</v>
          </cell>
          <cell r="B14" t="str">
            <v xml:space="preserve">Industrial </v>
          </cell>
          <cell r="D14">
            <v>3883435.7124354853</v>
          </cell>
          <cell r="E14">
            <v>386113.98383484263</v>
          </cell>
          <cell r="F14">
            <v>384250.05453306064</v>
          </cell>
          <cell r="G14">
            <v>329808.98724315915</v>
          </cell>
          <cell r="H14">
            <v>333215.32671146165</v>
          </cell>
          <cell r="I14">
            <v>323122.11510371015</v>
          </cell>
          <cell r="J14">
            <v>341124.84175674361</v>
          </cell>
          <cell r="K14">
            <v>288410</v>
          </cell>
          <cell r="L14">
            <v>290724</v>
          </cell>
          <cell r="M14">
            <v>279330</v>
          </cell>
          <cell r="N14">
            <v>290538.0338884017</v>
          </cell>
          <cell r="O14">
            <v>304603.36936410557</v>
          </cell>
          <cell r="P14">
            <v>332195</v>
          </cell>
          <cell r="T14">
            <v>11</v>
          </cell>
          <cell r="U14" t="str">
            <v>Industrial firm</v>
          </cell>
          <cell r="W14">
            <v>3741292.618658097</v>
          </cell>
          <cell r="X14">
            <v>480557</v>
          </cell>
          <cell r="Y14">
            <v>313583</v>
          </cell>
          <cell r="Z14">
            <v>305299</v>
          </cell>
          <cell r="AA14">
            <v>401946</v>
          </cell>
          <cell r="AB14">
            <v>318946</v>
          </cell>
          <cell r="AC14">
            <v>269392</v>
          </cell>
          <cell r="AD14">
            <v>260392</v>
          </cell>
          <cell r="AE14">
            <v>255669.61865809717</v>
          </cell>
          <cell r="AF14">
            <v>248203</v>
          </cell>
          <cell r="AG14">
            <v>265190</v>
          </cell>
          <cell r="AH14">
            <v>307016</v>
          </cell>
          <cell r="AI14">
            <v>315099</v>
          </cell>
        </row>
        <row r="15">
          <cell r="A15">
            <v>12</v>
          </cell>
          <cell r="B15" t="str">
            <v>Other</v>
          </cell>
          <cell r="D15">
            <v>-82543.286785470831</v>
          </cell>
          <cell r="E15">
            <v>-36603.919466355052</v>
          </cell>
          <cell r="F15">
            <v>-5692.0294089005747</v>
          </cell>
          <cell r="G15">
            <v>-37124.786931541537</v>
          </cell>
          <cell r="H15">
            <v>43386.992112182299</v>
          </cell>
          <cell r="I15">
            <v>493.75654883630341</v>
          </cell>
          <cell r="J15">
            <v>-70247.684876813713</v>
          </cell>
          <cell r="K15">
            <v>-30630.11442204694</v>
          </cell>
          <cell r="L15">
            <v>14758.5492258253</v>
          </cell>
          <cell r="M15">
            <v>-26000.411335086184</v>
          </cell>
          <cell r="N15">
            <v>41383.192131658398</v>
          </cell>
          <cell r="O15">
            <v>22882.169636770865</v>
          </cell>
          <cell r="P15">
            <v>851</v>
          </cell>
          <cell r="T15">
            <v>12</v>
          </cell>
          <cell r="U15" t="str">
            <v>Other</v>
          </cell>
          <cell r="W15">
            <v>33550.189891907692</v>
          </cell>
          <cell r="X15">
            <v>-18024.150355438702</v>
          </cell>
          <cell r="Y15">
            <v>-19706.884798909341</v>
          </cell>
          <cell r="Z15">
            <v>8511.0526828318252</v>
          </cell>
          <cell r="AA15">
            <v>-31104.294478527609</v>
          </cell>
          <cell r="AB15">
            <v>-3908.8518843120073</v>
          </cell>
          <cell r="AC15">
            <v>-16359.918200409</v>
          </cell>
          <cell r="AD15">
            <v>-25947.998831434415</v>
          </cell>
          <cell r="AE15">
            <v>26885.47083455059</v>
          </cell>
          <cell r="AF15">
            <v>-15741.55224461973</v>
          </cell>
          <cell r="AG15">
            <v>13365.46888694128</v>
          </cell>
          <cell r="AH15">
            <v>69941.571720712833</v>
          </cell>
          <cell r="AI15">
            <v>45640.276560521961</v>
          </cell>
        </row>
        <row r="16">
          <cell r="A16">
            <v>13</v>
          </cell>
          <cell r="B16" t="str">
            <v>Total Deliveries</v>
          </cell>
          <cell r="D16">
            <v>7370507.9535495201</v>
          </cell>
          <cell r="E16">
            <v>778547.82267017209</v>
          </cell>
          <cell r="F16">
            <v>863381.81322426721</v>
          </cell>
          <cell r="G16">
            <v>695207.85597429494</v>
          </cell>
          <cell r="H16">
            <v>698088.76054143533</v>
          </cell>
          <cell r="I16">
            <v>598080.00837472011</v>
          </cell>
          <cell r="J16">
            <v>491617.54055896384</v>
          </cell>
          <cell r="K16">
            <v>478058.88557795307</v>
          </cell>
          <cell r="L16">
            <v>521820.54922582529</v>
          </cell>
          <cell r="M16">
            <v>465450.58866491384</v>
          </cell>
          <cell r="N16">
            <v>556805.05015093938</v>
          </cell>
          <cell r="O16">
            <v>575997.07858603564</v>
          </cell>
          <cell r="P16">
            <v>647452</v>
          </cell>
          <cell r="T16">
            <v>13</v>
          </cell>
          <cell r="U16" t="str">
            <v>Total Deliveries</v>
          </cell>
          <cell r="W16">
            <v>7551419.4231181219</v>
          </cell>
          <cell r="X16">
            <v>908907.8496445613</v>
          </cell>
          <cell r="Y16">
            <v>721187.1152010907</v>
          </cell>
          <cell r="Z16">
            <v>690792.05268283188</v>
          </cell>
          <cell r="AA16">
            <v>714816.70552147238</v>
          </cell>
          <cell r="AB16">
            <v>598162.148115688</v>
          </cell>
          <cell r="AC16">
            <v>504079.08179959102</v>
          </cell>
          <cell r="AD16">
            <v>485672.00116856559</v>
          </cell>
          <cell r="AE16">
            <v>499106.70406076533</v>
          </cell>
          <cell r="AF16">
            <v>457079.44775538024</v>
          </cell>
          <cell r="AG16">
            <v>525848.46888694132</v>
          </cell>
          <cell r="AH16">
            <v>680831.57172071282</v>
          </cell>
          <cell r="AI16">
            <v>764936.27656052192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50747</v>
          </cell>
          <cell r="D21">
            <v>608958</v>
          </cell>
          <cell r="E21">
            <v>50149</v>
          </cell>
          <cell r="F21">
            <v>50287</v>
          </cell>
          <cell r="G21">
            <v>50518</v>
          </cell>
          <cell r="H21">
            <v>50689</v>
          </cell>
          <cell r="I21">
            <v>50593</v>
          </cell>
          <cell r="J21">
            <v>50687</v>
          </cell>
          <cell r="K21">
            <v>50739</v>
          </cell>
          <cell r="L21">
            <v>50856</v>
          </cell>
          <cell r="M21">
            <v>50867</v>
          </cell>
          <cell r="N21">
            <v>50954</v>
          </cell>
          <cell r="O21">
            <v>51231</v>
          </cell>
          <cell r="P21">
            <v>51388</v>
          </cell>
          <cell r="T21">
            <v>18</v>
          </cell>
          <cell r="U21" t="str">
            <v>Residential</v>
          </cell>
          <cell r="X21">
            <v>49122</v>
          </cell>
          <cell r="Y21">
            <v>49295</v>
          </cell>
          <cell r="Z21">
            <v>49571</v>
          </cell>
          <cell r="AA21">
            <v>49634</v>
          </cell>
          <cell r="AB21">
            <v>49645</v>
          </cell>
          <cell r="AC21">
            <v>49546</v>
          </cell>
          <cell r="AD21">
            <v>49545</v>
          </cell>
          <cell r="AE21">
            <v>49293</v>
          </cell>
          <cell r="AF21">
            <v>49380</v>
          </cell>
          <cell r="AG21">
            <v>49464</v>
          </cell>
          <cell r="AH21">
            <v>49667</v>
          </cell>
          <cell r="AI21">
            <v>49956</v>
          </cell>
        </row>
        <row r="22">
          <cell r="A22">
            <v>19</v>
          </cell>
          <cell r="B22" t="str">
            <v>Commercial Small</v>
          </cell>
          <cell r="C22">
            <v>3326</v>
          </cell>
          <cell r="D22">
            <v>39911</v>
          </cell>
          <cell r="E22">
            <v>3344</v>
          </cell>
          <cell r="F22">
            <v>3347</v>
          </cell>
          <cell r="G22">
            <v>3340</v>
          </cell>
          <cell r="H22">
            <v>3334</v>
          </cell>
          <cell r="I22">
            <v>3329</v>
          </cell>
          <cell r="J22">
            <v>3311</v>
          </cell>
          <cell r="K22">
            <v>3313</v>
          </cell>
          <cell r="L22">
            <v>3311</v>
          </cell>
          <cell r="M22">
            <v>3308</v>
          </cell>
          <cell r="N22">
            <v>3304</v>
          </cell>
          <cell r="O22">
            <v>3336</v>
          </cell>
          <cell r="P22">
            <v>3334</v>
          </cell>
          <cell r="T22">
            <v>19</v>
          </cell>
          <cell r="U22" t="str">
            <v>Commercial Small</v>
          </cell>
          <cell r="X22">
            <v>3298</v>
          </cell>
          <cell r="Y22">
            <v>3308</v>
          </cell>
          <cell r="Z22">
            <v>3324</v>
          </cell>
          <cell r="AA22">
            <v>3322</v>
          </cell>
          <cell r="AB22">
            <v>3303</v>
          </cell>
          <cell r="AC22">
            <v>3298</v>
          </cell>
          <cell r="AD22">
            <v>3315</v>
          </cell>
          <cell r="AE22">
            <v>3311</v>
          </cell>
          <cell r="AF22">
            <v>3310</v>
          </cell>
          <cell r="AG22">
            <v>3321</v>
          </cell>
          <cell r="AH22">
            <v>3335</v>
          </cell>
          <cell r="AI22">
            <v>3351</v>
          </cell>
        </row>
        <row r="23">
          <cell r="A23">
            <v>20</v>
          </cell>
          <cell r="B23" t="str">
            <v>Commercial Large</v>
          </cell>
          <cell r="C23">
            <v>834</v>
          </cell>
          <cell r="D23">
            <v>10013</v>
          </cell>
          <cell r="E23">
            <v>883</v>
          </cell>
          <cell r="F23">
            <v>867</v>
          </cell>
          <cell r="G23">
            <v>855</v>
          </cell>
          <cell r="H23">
            <v>855</v>
          </cell>
          <cell r="I23">
            <v>843</v>
          </cell>
          <cell r="J23">
            <v>843</v>
          </cell>
          <cell r="K23">
            <v>829</v>
          </cell>
          <cell r="L23">
            <v>819</v>
          </cell>
          <cell r="M23">
            <v>810</v>
          </cell>
          <cell r="N23">
            <v>804</v>
          </cell>
          <cell r="O23">
            <v>802</v>
          </cell>
          <cell r="P23">
            <v>803</v>
          </cell>
          <cell r="T23">
            <v>20</v>
          </cell>
          <cell r="U23" t="str">
            <v>Commercial Large</v>
          </cell>
          <cell r="X23">
            <v>1005</v>
          </cell>
          <cell r="Y23">
            <v>1008</v>
          </cell>
          <cell r="Z23">
            <v>1011</v>
          </cell>
          <cell r="AA23">
            <v>1004</v>
          </cell>
          <cell r="AB23">
            <v>993</v>
          </cell>
          <cell r="AC23">
            <v>975</v>
          </cell>
          <cell r="AD23">
            <v>958</v>
          </cell>
          <cell r="AE23">
            <v>943</v>
          </cell>
          <cell r="AF23">
            <v>928</v>
          </cell>
          <cell r="AG23">
            <v>922</v>
          </cell>
          <cell r="AH23">
            <v>893</v>
          </cell>
          <cell r="AI23">
            <v>894</v>
          </cell>
        </row>
        <row r="24">
          <cell r="A24">
            <v>21</v>
          </cell>
          <cell r="B24" t="str">
            <v>Outdoor Lights</v>
          </cell>
          <cell r="C24">
            <v>59</v>
          </cell>
          <cell r="D24">
            <v>712</v>
          </cell>
          <cell r="E24">
            <v>14</v>
          </cell>
          <cell r="F24">
            <v>44</v>
          </cell>
          <cell r="G24">
            <v>82</v>
          </cell>
          <cell r="H24">
            <v>63</v>
          </cell>
          <cell r="I24">
            <v>63</v>
          </cell>
          <cell r="J24">
            <v>63</v>
          </cell>
          <cell r="K24">
            <v>63</v>
          </cell>
          <cell r="L24">
            <v>64</v>
          </cell>
          <cell r="M24">
            <v>64</v>
          </cell>
          <cell r="N24">
            <v>64</v>
          </cell>
          <cell r="O24">
            <v>64</v>
          </cell>
          <cell r="P24">
            <v>64</v>
          </cell>
          <cell r="T24">
            <v>21</v>
          </cell>
          <cell r="U24" t="str">
            <v>Outdoor Lights</v>
          </cell>
          <cell r="X24">
            <v>44</v>
          </cell>
          <cell r="Y24">
            <v>43</v>
          </cell>
          <cell r="Z24">
            <v>41</v>
          </cell>
          <cell r="AA24">
            <v>41</v>
          </cell>
          <cell r="AB24">
            <v>41</v>
          </cell>
          <cell r="AC24">
            <v>39</v>
          </cell>
          <cell r="AD24">
            <v>39</v>
          </cell>
          <cell r="AE24">
            <v>38</v>
          </cell>
          <cell r="AF24">
            <v>38</v>
          </cell>
          <cell r="AG24">
            <v>38</v>
          </cell>
          <cell r="AH24">
            <v>37</v>
          </cell>
          <cell r="AI24">
            <v>25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T25">
            <v>22</v>
          </cell>
          <cell r="U25" t="str">
            <v>Interdepartmental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26">
            <v>23</v>
          </cell>
          <cell r="B26" t="str">
            <v>Commercial Small Transp</v>
          </cell>
          <cell r="C26">
            <v>622</v>
          </cell>
          <cell r="D26">
            <v>7468</v>
          </cell>
          <cell r="E26">
            <v>556</v>
          </cell>
          <cell r="F26">
            <v>568</v>
          </cell>
          <cell r="G26">
            <v>580</v>
          </cell>
          <cell r="H26">
            <v>594</v>
          </cell>
          <cell r="I26">
            <v>605</v>
          </cell>
          <cell r="J26">
            <v>623</v>
          </cell>
          <cell r="K26">
            <v>628</v>
          </cell>
          <cell r="L26">
            <v>634</v>
          </cell>
          <cell r="M26">
            <v>660</v>
          </cell>
          <cell r="N26">
            <v>667</v>
          </cell>
          <cell r="O26">
            <v>676</v>
          </cell>
          <cell r="P26">
            <v>677</v>
          </cell>
          <cell r="T26">
            <v>23</v>
          </cell>
          <cell r="U26" t="str">
            <v>Commercial Small Transp</v>
          </cell>
          <cell r="X26">
            <v>410</v>
          </cell>
          <cell r="Y26">
            <v>420</v>
          </cell>
          <cell r="Z26">
            <v>428</v>
          </cell>
          <cell r="AA26">
            <v>435</v>
          </cell>
          <cell r="AB26">
            <v>453</v>
          </cell>
          <cell r="AC26">
            <v>461</v>
          </cell>
          <cell r="AD26">
            <v>467</v>
          </cell>
          <cell r="AE26">
            <v>482</v>
          </cell>
          <cell r="AF26">
            <v>508</v>
          </cell>
          <cell r="AG26">
            <v>517</v>
          </cell>
          <cell r="AH26">
            <v>523</v>
          </cell>
          <cell r="AI26">
            <v>540</v>
          </cell>
        </row>
        <row r="27">
          <cell r="A27">
            <v>24</v>
          </cell>
          <cell r="B27" t="str">
            <v>Commercial Large Transp</v>
          </cell>
          <cell r="C27">
            <v>969</v>
          </cell>
          <cell r="D27">
            <v>11626</v>
          </cell>
          <cell r="E27">
            <v>930</v>
          </cell>
          <cell r="F27">
            <v>935</v>
          </cell>
          <cell r="G27">
            <v>942</v>
          </cell>
          <cell r="H27">
            <v>951</v>
          </cell>
          <cell r="I27">
            <v>960</v>
          </cell>
          <cell r="J27">
            <v>966</v>
          </cell>
          <cell r="K27">
            <v>973</v>
          </cell>
          <cell r="L27">
            <v>982</v>
          </cell>
          <cell r="M27">
            <v>989</v>
          </cell>
          <cell r="N27">
            <v>999</v>
          </cell>
          <cell r="O27">
            <v>1000</v>
          </cell>
          <cell r="P27">
            <v>999</v>
          </cell>
          <cell r="T27">
            <v>24</v>
          </cell>
          <cell r="U27" t="str">
            <v>Commercial Large Transp</v>
          </cell>
          <cell r="X27">
            <v>777</v>
          </cell>
          <cell r="Y27">
            <v>784</v>
          </cell>
          <cell r="Z27">
            <v>789</v>
          </cell>
          <cell r="AA27">
            <v>796</v>
          </cell>
          <cell r="AB27">
            <v>806</v>
          </cell>
          <cell r="AC27">
            <v>813</v>
          </cell>
          <cell r="AD27">
            <v>827</v>
          </cell>
          <cell r="AE27">
            <v>844</v>
          </cell>
          <cell r="AF27">
            <v>861</v>
          </cell>
          <cell r="AG27">
            <v>888</v>
          </cell>
          <cell r="AH27">
            <v>895</v>
          </cell>
          <cell r="AI27">
            <v>911</v>
          </cell>
        </row>
        <row r="28">
          <cell r="A28">
            <v>25</v>
          </cell>
          <cell r="B28" t="str">
            <v>Interruptible Transp</v>
          </cell>
          <cell r="C28">
            <v>17</v>
          </cell>
          <cell r="D28">
            <v>203</v>
          </cell>
          <cell r="E28">
            <v>17</v>
          </cell>
          <cell r="F28">
            <v>17</v>
          </cell>
          <cell r="G28">
            <v>17</v>
          </cell>
          <cell r="H28">
            <v>17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16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16</v>
          </cell>
          <cell r="AC28">
            <v>16</v>
          </cell>
          <cell r="AD28">
            <v>14</v>
          </cell>
          <cell r="AE28">
            <v>16</v>
          </cell>
          <cell r="AF28">
            <v>16</v>
          </cell>
          <cell r="AG28">
            <v>16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678891</v>
          </cell>
          <cell r="E30">
            <v>55893</v>
          </cell>
          <cell r="F30">
            <v>56065</v>
          </cell>
          <cell r="G30">
            <v>56334</v>
          </cell>
          <cell r="H30">
            <v>56503</v>
          </cell>
          <cell r="I30">
            <v>56410</v>
          </cell>
          <cell r="J30">
            <v>56510</v>
          </cell>
          <cell r="K30">
            <v>56562</v>
          </cell>
          <cell r="L30">
            <v>56683</v>
          </cell>
          <cell r="M30">
            <v>56715</v>
          </cell>
          <cell r="N30">
            <v>56808</v>
          </cell>
          <cell r="O30">
            <v>57126</v>
          </cell>
          <cell r="P30">
            <v>57282</v>
          </cell>
          <cell r="T30">
            <v>27</v>
          </cell>
          <cell r="X30">
            <v>54672</v>
          </cell>
          <cell r="Y30">
            <v>54874</v>
          </cell>
          <cell r="Z30">
            <v>55180</v>
          </cell>
          <cell r="AA30">
            <v>55248</v>
          </cell>
          <cell r="AB30">
            <v>55257</v>
          </cell>
          <cell r="AC30">
            <v>55148</v>
          </cell>
          <cell r="AD30">
            <v>55165</v>
          </cell>
          <cell r="AE30">
            <v>54927</v>
          </cell>
          <cell r="AF30">
            <v>55041</v>
          </cell>
          <cell r="AG30">
            <v>55166</v>
          </cell>
          <cell r="AH30">
            <v>55367</v>
          </cell>
          <cell r="AI30">
            <v>55694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1196318.9823741391</v>
          </cell>
          <cell r="E33">
            <v>170568.79735125133</v>
          </cell>
          <cell r="F33">
            <v>183764.99756548836</v>
          </cell>
          <cell r="G33">
            <v>140595.70162625719</v>
          </cell>
          <cell r="H33">
            <v>103925.21180251242</v>
          </cell>
          <cell r="I33">
            <v>78639.205375401696</v>
          </cell>
          <cell r="J33">
            <v>64977.992014801828</v>
          </cell>
          <cell r="K33">
            <v>63142</v>
          </cell>
          <cell r="L33">
            <v>61282</v>
          </cell>
          <cell r="M33">
            <v>63650</v>
          </cell>
          <cell r="N33">
            <v>65813.419028142947</v>
          </cell>
          <cell r="O33">
            <v>82763.657610283379</v>
          </cell>
          <cell r="P33">
            <v>117196</v>
          </cell>
          <cell r="T33">
            <v>30</v>
          </cell>
          <cell r="U33" t="str">
            <v>Residential</v>
          </cell>
          <cell r="X33">
            <v>169361</v>
          </cell>
          <cell r="Y33">
            <v>164706</v>
          </cell>
          <cell r="Z33">
            <v>130840</v>
          </cell>
          <cell r="AA33">
            <v>114318</v>
          </cell>
          <cell r="AB33">
            <v>83663</v>
          </cell>
          <cell r="AC33">
            <v>70623</v>
          </cell>
          <cell r="AD33">
            <v>65529</v>
          </cell>
          <cell r="AE33">
            <v>56685.266335573084</v>
          </cell>
          <cell r="AF33">
            <v>61436</v>
          </cell>
          <cell r="AG33">
            <v>66489</v>
          </cell>
          <cell r="AH33">
            <v>94127</v>
          </cell>
          <cell r="AI33">
            <v>150104</v>
          </cell>
        </row>
        <row r="34">
          <cell r="A34">
            <v>31</v>
          </cell>
          <cell r="B34" t="str">
            <v>Commercial Small</v>
          </cell>
          <cell r="D34">
            <v>852450.25309182936</v>
          </cell>
          <cell r="E34">
            <v>96127.238289998801</v>
          </cell>
          <cell r="F34">
            <v>104694.05687019184</v>
          </cell>
          <cell r="G34">
            <v>87893.286590709802</v>
          </cell>
          <cell r="H34">
            <v>74319.992209562755</v>
          </cell>
          <cell r="I34">
            <v>61978.089395267307</v>
          </cell>
          <cell r="J34">
            <v>56001.363326516701</v>
          </cell>
          <cell r="K34">
            <v>57336</v>
          </cell>
          <cell r="L34">
            <v>54399</v>
          </cell>
          <cell r="M34">
            <v>59533</v>
          </cell>
          <cell r="N34">
            <v>57368.464310059382</v>
          </cell>
          <cell r="O34">
            <v>64246.762099522835</v>
          </cell>
          <cell r="P34">
            <v>78553</v>
          </cell>
          <cell r="T34">
            <v>31</v>
          </cell>
          <cell r="U34" t="str">
            <v>Commercial Small</v>
          </cell>
          <cell r="X34">
            <v>96474</v>
          </cell>
          <cell r="Y34">
            <v>93006</v>
          </cell>
          <cell r="Z34">
            <v>83773</v>
          </cell>
          <cell r="AA34">
            <v>78454</v>
          </cell>
          <cell r="AB34">
            <v>65499</v>
          </cell>
          <cell r="AC34">
            <v>59915</v>
          </cell>
          <cell r="AD34">
            <v>59080</v>
          </cell>
          <cell r="AE34">
            <v>53036.324861232832</v>
          </cell>
          <cell r="AF34">
            <v>55851</v>
          </cell>
          <cell r="AG34">
            <v>61221</v>
          </cell>
          <cell r="AH34">
            <v>74069</v>
          </cell>
          <cell r="AI34">
            <v>90068</v>
          </cell>
        </row>
        <row r="35">
          <cell r="A35">
            <v>32</v>
          </cell>
          <cell r="B35" t="str">
            <v>Commercial Large</v>
          </cell>
          <cell r="D35">
            <v>1475963.8353296332</v>
          </cell>
          <cell r="E35">
            <v>158752.74807673573</v>
          </cell>
          <cell r="F35">
            <v>192704.85539000874</v>
          </cell>
          <cell r="G35">
            <v>169595.65975265365</v>
          </cell>
          <cell r="H35">
            <v>139398.77300613496</v>
          </cell>
          <cell r="I35">
            <v>130218.61914499951</v>
          </cell>
          <cell r="J35">
            <v>96291.946635504923</v>
          </cell>
          <cell r="K35">
            <v>96166</v>
          </cell>
          <cell r="L35">
            <v>97093</v>
          </cell>
          <cell r="M35">
            <v>85335</v>
          </cell>
          <cell r="N35">
            <v>98059.110916350182</v>
          </cell>
          <cell r="O35">
            <v>97947.1224072451</v>
          </cell>
          <cell r="P35">
            <v>114401</v>
          </cell>
          <cell r="T35">
            <v>32</v>
          </cell>
          <cell r="U35" t="str">
            <v>Commercial Large</v>
          </cell>
          <cell r="X35">
            <v>174571</v>
          </cell>
          <cell r="Y35">
            <v>163793</v>
          </cell>
          <cell r="Z35">
            <v>157229</v>
          </cell>
          <cell r="AA35">
            <v>146029</v>
          </cell>
          <cell r="AB35">
            <v>129681</v>
          </cell>
          <cell r="AC35">
            <v>116469</v>
          </cell>
          <cell r="AD35">
            <v>122643</v>
          </cell>
          <cell r="AE35">
            <v>103319.01840490797</v>
          </cell>
          <cell r="AF35">
            <v>103395</v>
          </cell>
          <cell r="AG35">
            <v>115464</v>
          </cell>
          <cell r="AH35">
            <v>131189</v>
          </cell>
          <cell r="AI35">
            <v>159411</v>
          </cell>
        </row>
        <row r="36">
          <cell r="A36">
            <v>33</v>
          </cell>
          <cell r="B36" t="str">
            <v>Outdoor Lights</v>
          </cell>
          <cell r="D36">
            <v>18488.423410263902</v>
          </cell>
          <cell r="E36">
            <v>658.52565975265361</v>
          </cell>
          <cell r="F36">
            <v>703.12591294186382</v>
          </cell>
          <cell r="G36">
            <v>1730.0029214139645</v>
          </cell>
          <cell r="H36">
            <v>1719.3494984906029</v>
          </cell>
          <cell r="I36">
            <v>1719.3494984906029</v>
          </cell>
          <cell r="J36">
            <v>1719.3494984906029</v>
          </cell>
          <cell r="K36">
            <v>1719</v>
          </cell>
          <cell r="L36">
            <v>1719</v>
          </cell>
          <cell r="M36">
            <v>1643</v>
          </cell>
          <cell r="N36">
            <v>1719.3709221930078</v>
          </cell>
          <cell r="O36">
            <v>1719.3494984906029</v>
          </cell>
          <cell r="P36">
            <v>1719</v>
          </cell>
          <cell r="T36">
            <v>33</v>
          </cell>
          <cell r="U36" t="str">
            <v>Outdoor Lights</v>
          </cell>
          <cell r="X36">
            <v>1717</v>
          </cell>
          <cell r="Y36">
            <v>1845</v>
          </cell>
          <cell r="Z36">
            <v>1782</v>
          </cell>
          <cell r="AA36">
            <v>1848</v>
          </cell>
          <cell r="AB36">
            <v>1782</v>
          </cell>
          <cell r="AC36">
            <v>1753</v>
          </cell>
          <cell r="AD36">
            <v>1753</v>
          </cell>
          <cell r="AE36">
            <v>1721.0049664037394</v>
          </cell>
          <cell r="AF36">
            <v>1721</v>
          </cell>
          <cell r="AG36">
            <v>1622</v>
          </cell>
          <cell r="AH36">
            <v>1677</v>
          </cell>
          <cell r="AI36">
            <v>1094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Unbilled</v>
          </cell>
          <cell r="D38">
            <v>-89655.441620410958</v>
          </cell>
          <cell r="E38">
            <v>-37552.919466355052</v>
          </cell>
          <cell r="F38">
            <v>-6642.0294089005747</v>
          </cell>
          <cell r="G38">
            <v>-38151.786931541537</v>
          </cell>
          <cell r="H38">
            <v>42748.992112182299</v>
          </cell>
          <cell r="I38">
            <v>-0.2434511636965625</v>
          </cell>
          <cell r="J38">
            <v>-70643.684876813713</v>
          </cell>
          <cell r="K38">
            <v>-30925.11442204694</v>
          </cell>
          <cell r="L38">
            <v>14440.5492258253</v>
          </cell>
          <cell r="M38">
            <v>-26304.411335086184</v>
          </cell>
          <cell r="N38">
            <v>40994.254552536768</v>
          </cell>
          <cell r="O38">
            <v>22380.952380952382</v>
          </cell>
          <cell r="T38">
            <v>35</v>
          </cell>
          <cell r="U38" t="str">
            <v>Unbilled</v>
          </cell>
          <cell r="X38">
            <v>-18024.150355438702</v>
          </cell>
          <cell r="Y38">
            <v>-19706.884798909341</v>
          </cell>
          <cell r="Z38">
            <v>8511.0526828318252</v>
          </cell>
          <cell r="AA38">
            <v>-31104.294478527609</v>
          </cell>
          <cell r="AB38">
            <v>-3908.8518843120073</v>
          </cell>
          <cell r="AC38">
            <v>-16359.918200409</v>
          </cell>
          <cell r="AD38">
            <v>-25947.998831434415</v>
          </cell>
          <cell r="AE38">
            <v>26885.47083455059</v>
          </cell>
          <cell r="AF38">
            <v>-15741.55224461973</v>
          </cell>
          <cell r="AG38">
            <v>13365.46888694128</v>
          </cell>
          <cell r="AH38">
            <v>69941.571720712833</v>
          </cell>
          <cell r="AI38">
            <v>45640.276560521961</v>
          </cell>
        </row>
        <row r="39">
          <cell r="A39">
            <v>36</v>
          </cell>
          <cell r="B39" t="str">
            <v>Commercial Small Transp</v>
          </cell>
          <cell r="D39">
            <v>304017.68380562862</v>
          </cell>
          <cell r="E39">
            <v>27997.728113740388</v>
          </cell>
          <cell r="F39">
            <v>28757.139935728894</v>
          </cell>
          <cell r="G39">
            <v>27548.16535203041</v>
          </cell>
          <cell r="H39">
            <v>25475.021910604733</v>
          </cell>
          <cell r="I39">
            <v>22867.465186483591</v>
          </cell>
          <cell r="J39">
            <v>22786.834161067291</v>
          </cell>
          <cell r="K39">
            <v>23388</v>
          </cell>
          <cell r="L39">
            <v>22308</v>
          </cell>
          <cell r="M39">
            <v>23750</v>
          </cell>
          <cell r="N39">
            <v>23212.879540364214</v>
          </cell>
          <cell r="O39">
            <v>25507.449605609116</v>
          </cell>
          <cell r="P39">
            <v>30419</v>
          </cell>
          <cell r="T39">
            <v>36</v>
          </cell>
          <cell r="U39" t="str">
            <v>Commercial Small Transp</v>
          </cell>
          <cell r="X39">
            <v>19797</v>
          </cell>
          <cell r="Y39">
            <v>19934</v>
          </cell>
          <cell r="Z39">
            <v>18851</v>
          </cell>
          <cell r="AA39">
            <v>17456</v>
          </cell>
          <cell r="AB39">
            <v>15953</v>
          </cell>
          <cell r="AC39">
            <v>15055</v>
          </cell>
          <cell r="AD39">
            <v>15647</v>
          </cell>
          <cell r="AE39">
            <v>14203.427792384848</v>
          </cell>
          <cell r="AF39">
            <v>16747</v>
          </cell>
          <cell r="AG39">
            <v>14466</v>
          </cell>
          <cell r="AH39">
            <v>20676</v>
          </cell>
          <cell r="AI39">
            <v>25003</v>
          </cell>
        </row>
        <row r="40">
          <cell r="A40">
            <v>37</v>
          </cell>
          <cell r="B40" t="str">
            <v>Commercial Large Transp</v>
          </cell>
          <cell r="D40">
            <v>2601137.0869607553</v>
          </cell>
          <cell r="E40">
            <v>249499.89190768322</v>
          </cell>
          <cell r="F40">
            <v>238378.83727724216</v>
          </cell>
          <cell r="G40">
            <v>236162.29330996209</v>
          </cell>
          <cell r="H40">
            <v>225203.71993378128</v>
          </cell>
          <cell r="I40">
            <v>204986.46411529847</v>
          </cell>
          <cell r="J40">
            <v>199713.4092900964</v>
          </cell>
          <cell r="K40">
            <v>209902</v>
          </cell>
          <cell r="L40">
            <v>201860</v>
          </cell>
          <cell r="M40">
            <v>196681</v>
          </cell>
          <cell r="N40">
            <v>202063.79199532547</v>
          </cell>
          <cell r="O40">
            <v>207554.67913136625</v>
          </cell>
          <cell r="P40">
            <v>229131</v>
          </cell>
          <cell r="T40">
            <v>37</v>
          </cell>
          <cell r="U40" t="str">
            <v>Commercial Large Transp</v>
          </cell>
          <cell r="X40">
            <v>228407</v>
          </cell>
          <cell r="Y40">
            <v>213661</v>
          </cell>
          <cell r="Z40">
            <v>218651</v>
          </cell>
          <cell r="AA40">
            <v>208971</v>
          </cell>
          <cell r="AB40">
            <v>196600</v>
          </cell>
          <cell r="AC40">
            <v>186120</v>
          </cell>
          <cell r="AD40">
            <v>195515</v>
          </cell>
          <cell r="AE40">
            <v>178663.94001363326</v>
          </cell>
          <cell r="AF40">
            <v>176205</v>
          </cell>
          <cell r="AG40">
            <v>190336</v>
          </cell>
          <cell r="AH40">
            <v>206048</v>
          </cell>
          <cell r="AI40">
            <v>229314</v>
          </cell>
        </row>
        <row r="41">
          <cell r="A41">
            <v>38</v>
          </cell>
          <cell r="B41" t="str">
            <v>Interruptible Transp</v>
          </cell>
          <cell r="D41">
            <v>725139.6736780603</v>
          </cell>
          <cell r="E41">
            <v>60925.682150160683</v>
          </cell>
          <cell r="F41">
            <v>62240.458661992408</v>
          </cell>
          <cell r="G41">
            <v>66098.528581166625</v>
          </cell>
          <cell r="H41">
            <v>58713.506670561881</v>
          </cell>
          <cell r="I41">
            <v>52889.765313078198</v>
          </cell>
          <cell r="J41">
            <v>105399.94157172072</v>
          </cell>
          <cell r="K41">
            <v>47184</v>
          </cell>
          <cell r="L41">
            <v>54030</v>
          </cell>
          <cell r="M41">
            <v>45417</v>
          </cell>
          <cell r="N41">
            <v>56369.941571720716</v>
          </cell>
          <cell r="O41">
            <v>59120.849157658973</v>
          </cell>
          <cell r="P41">
            <v>56750</v>
          </cell>
          <cell r="T41">
            <v>38</v>
          </cell>
          <cell r="U41" t="str">
            <v>Interruptible Transp</v>
          </cell>
          <cell r="X41">
            <v>57492</v>
          </cell>
          <cell r="Y41">
            <v>49915</v>
          </cell>
          <cell r="Z41">
            <v>56611</v>
          </cell>
          <cell r="AA41">
            <v>51592</v>
          </cell>
          <cell r="AB41">
            <v>49952</v>
          </cell>
          <cell r="AC41">
            <v>47697</v>
          </cell>
          <cell r="AD41">
            <v>39576</v>
          </cell>
          <cell r="AE41">
            <v>53496.250852079073</v>
          </cell>
          <cell r="AF41">
            <v>47795</v>
          </cell>
          <cell r="AG41">
            <v>56983</v>
          </cell>
          <cell r="AH41">
            <v>65183</v>
          </cell>
          <cell r="AI41">
            <v>60561</v>
          </cell>
        </row>
        <row r="42">
          <cell r="A42">
            <v>39</v>
          </cell>
          <cell r="D42">
            <v>7083860.4970298987</v>
          </cell>
          <cell r="E42">
            <v>726977.69208296773</v>
          </cell>
          <cell r="F42">
            <v>804601.44220469368</v>
          </cell>
          <cell r="G42">
            <v>691471.85120265232</v>
          </cell>
          <cell r="H42">
            <v>671504.56714383094</v>
          </cell>
          <cell r="I42">
            <v>553298.71457785566</v>
          </cell>
          <cell r="J42">
            <v>476247.15162138472</v>
          </cell>
          <cell r="K42">
            <v>467911.88557795307</v>
          </cell>
          <cell r="L42">
            <v>507131.54922582529</v>
          </cell>
          <cell r="M42">
            <v>449704.58866491378</v>
          </cell>
          <cell r="N42">
            <v>545601.23283669271</v>
          </cell>
          <cell r="O42">
            <v>561240.82189112867</v>
          </cell>
          <cell r="P42">
            <v>628169</v>
          </cell>
          <cell r="T42">
            <v>39</v>
          </cell>
          <cell r="X42">
            <v>729794.8496445613</v>
          </cell>
          <cell r="Y42">
            <v>687153.1152010907</v>
          </cell>
          <cell r="Z42">
            <v>676248.05268283188</v>
          </cell>
          <cell r="AA42">
            <v>587563.70552147238</v>
          </cell>
          <cell r="AB42">
            <v>539221.148115688</v>
          </cell>
          <cell r="AC42">
            <v>481272.08179959096</v>
          </cell>
          <cell r="AD42">
            <v>473795.00116856559</v>
          </cell>
          <cell r="AE42">
            <v>488010.70406076539</v>
          </cell>
          <cell r="AF42">
            <v>447408.4477553803</v>
          </cell>
          <cell r="AG42">
            <v>519946.46888694132</v>
          </cell>
          <cell r="AH42">
            <v>662910.57172071282</v>
          </cell>
          <cell r="AI42">
            <v>761195.27656052192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674</v>
          </cell>
          <cell r="F45">
            <v>678</v>
          </cell>
          <cell r="G45">
            <v>678</v>
          </cell>
          <cell r="H45">
            <v>681</v>
          </cell>
          <cell r="I45">
            <v>679</v>
          </cell>
          <cell r="J45">
            <v>682</v>
          </cell>
          <cell r="K45">
            <v>676</v>
          </cell>
          <cell r="L45">
            <v>672</v>
          </cell>
          <cell r="M45">
            <v>666</v>
          </cell>
          <cell r="N45">
            <v>676</v>
          </cell>
          <cell r="O45">
            <v>671</v>
          </cell>
          <cell r="P45">
            <v>668</v>
          </cell>
          <cell r="T45">
            <v>42</v>
          </cell>
          <cell r="U45" t="str">
            <v>TS1 - RS</v>
          </cell>
          <cell r="X45">
            <v>672</v>
          </cell>
          <cell r="Y45">
            <v>676</v>
          </cell>
          <cell r="Z45">
            <v>675</v>
          </cell>
          <cell r="AA45">
            <v>672</v>
          </cell>
          <cell r="AB45">
            <v>672</v>
          </cell>
          <cell r="AC45">
            <v>665</v>
          </cell>
          <cell r="AD45">
            <v>666</v>
          </cell>
          <cell r="AE45">
            <v>666</v>
          </cell>
          <cell r="AF45">
            <v>674</v>
          </cell>
          <cell r="AG45">
            <v>676</v>
          </cell>
          <cell r="AH45">
            <v>677</v>
          </cell>
          <cell r="AI45">
            <v>677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P46">
            <v>0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24</v>
          </cell>
          <cell r="G47">
            <v>24</v>
          </cell>
          <cell r="H47">
            <v>24</v>
          </cell>
          <cell r="I47">
            <v>24</v>
          </cell>
          <cell r="J47">
            <v>24</v>
          </cell>
          <cell r="K47">
            <v>24</v>
          </cell>
          <cell r="L47">
            <v>24</v>
          </cell>
          <cell r="M47">
            <v>24</v>
          </cell>
          <cell r="N47">
            <v>24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23</v>
          </cell>
          <cell r="Z47">
            <v>24</v>
          </cell>
          <cell r="AA47">
            <v>22</v>
          </cell>
          <cell r="AB47">
            <v>22</v>
          </cell>
          <cell r="AC47">
            <v>22</v>
          </cell>
          <cell r="AD47">
            <v>21</v>
          </cell>
          <cell r="AE47">
            <v>21</v>
          </cell>
          <cell r="AF47">
            <v>21</v>
          </cell>
          <cell r="AG47">
            <v>21</v>
          </cell>
          <cell r="AH47">
            <v>24</v>
          </cell>
          <cell r="AI47">
            <v>24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701</v>
          </cell>
          <cell r="F50">
            <v>705</v>
          </cell>
          <cell r="G50">
            <v>705</v>
          </cell>
          <cell r="H50">
            <v>708</v>
          </cell>
          <cell r="I50">
            <v>706</v>
          </cell>
          <cell r="J50">
            <v>709</v>
          </cell>
          <cell r="K50">
            <v>703</v>
          </cell>
          <cell r="L50">
            <v>699</v>
          </cell>
          <cell r="M50">
            <v>693</v>
          </cell>
          <cell r="N50">
            <v>703</v>
          </cell>
          <cell r="O50">
            <v>697</v>
          </cell>
          <cell r="P50">
            <v>694</v>
          </cell>
          <cell r="T50">
            <v>47</v>
          </cell>
          <cell r="X50">
            <v>699</v>
          </cell>
          <cell r="Y50">
            <v>702</v>
          </cell>
          <cell r="Z50">
            <v>702</v>
          </cell>
          <cell r="AA50">
            <v>697</v>
          </cell>
          <cell r="AB50">
            <v>697</v>
          </cell>
          <cell r="AC50">
            <v>690</v>
          </cell>
          <cell r="AD50">
            <v>690</v>
          </cell>
          <cell r="AE50">
            <v>690</v>
          </cell>
          <cell r="AF50">
            <v>698</v>
          </cell>
          <cell r="AG50">
            <v>700</v>
          </cell>
          <cell r="AH50">
            <v>704</v>
          </cell>
          <cell r="AI50">
            <v>704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11484.202746129124</v>
          </cell>
          <cell r="E53">
            <v>1199.1128639594897</v>
          </cell>
          <cell r="F53">
            <v>1193.3781283474534</v>
          </cell>
          <cell r="G53">
            <v>1064.6684195150453</v>
          </cell>
          <cell r="H53">
            <v>910.9377738825591</v>
          </cell>
          <cell r="I53">
            <v>878.46917908267596</v>
          </cell>
          <cell r="J53">
            <v>817.50900769305679</v>
          </cell>
          <cell r="K53">
            <v>871</v>
          </cell>
          <cell r="L53">
            <v>852</v>
          </cell>
          <cell r="M53">
            <v>891</v>
          </cell>
          <cell r="N53">
            <v>847.40481059499461</v>
          </cell>
          <cell r="O53">
            <v>820.72256305385133</v>
          </cell>
          <cell r="P53">
            <v>1138</v>
          </cell>
          <cell r="T53">
            <v>50</v>
          </cell>
          <cell r="U53" t="str">
            <v>TS1 - RS</v>
          </cell>
          <cell r="X53">
            <v>1232</v>
          </cell>
          <cell r="Y53">
            <v>1023</v>
          </cell>
          <cell r="Z53">
            <v>997</v>
          </cell>
          <cell r="AA53">
            <v>1040</v>
          </cell>
          <cell r="AB53">
            <v>905</v>
          </cell>
          <cell r="AC53">
            <v>829</v>
          </cell>
          <cell r="AD53">
            <v>895</v>
          </cell>
          <cell r="AE53">
            <v>793</v>
          </cell>
          <cell r="AF53">
            <v>944</v>
          </cell>
          <cell r="AG53">
            <v>882</v>
          </cell>
          <cell r="AH53">
            <v>924</v>
          </cell>
          <cell r="AI53">
            <v>1150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K54">
            <v>0</v>
          </cell>
          <cell r="L54">
            <v>0</v>
          </cell>
          <cell r="M54">
            <v>0</v>
          </cell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7399.8171194858314</v>
          </cell>
          <cell r="E55">
            <v>689.858798325056</v>
          </cell>
          <cell r="F55">
            <v>605.67728113740384</v>
          </cell>
          <cell r="G55">
            <v>684.34414256500145</v>
          </cell>
          <cell r="H55">
            <v>602.0888109845165</v>
          </cell>
          <cell r="I55">
            <v>540.9484857337618</v>
          </cell>
          <cell r="J55">
            <v>483.00710877397995</v>
          </cell>
          <cell r="K55">
            <v>572</v>
          </cell>
          <cell r="L55">
            <v>544</v>
          </cell>
          <cell r="M55">
            <v>630</v>
          </cell>
          <cell r="N55">
            <v>649.13818288051414</v>
          </cell>
          <cell r="O55">
            <v>566.75430908559747</v>
          </cell>
          <cell r="P55">
            <v>832</v>
          </cell>
          <cell r="T55">
            <v>52</v>
          </cell>
          <cell r="U55" t="str">
            <v>TS2</v>
          </cell>
          <cell r="X55">
            <v>625</v>
          </cell>
          <cell r="Y55">
            <v>579</v>
          </cell>
          <cell r="Z55">
            <v>618</v>
          </cell>
          <cell r="AA55">
            <v>576</v>
          </cell>
          <cell r="AB55">
            <v>500</v>
          </cell>
          <cell r="AC55">
            <v>551</v>
          </cell>
          <cell r="AD55">
            <v>533</v>
          </cell>
          <cell r="AE55">
            <v>413</v>
          </cell>
          <cell r="AF55">
            <v>570</v>
          </cell>
          <cell r="AG55">
            <v>676</v>
          </cell>
          <cell r="AH55">
            <v>490</v>
          </cell>
          <cell r="AI55">
            <v>611</v>
          </cell>
        </row>
        <row r="56">
          <cell r="A56">
            <v>53</v>
          </cell>
          <cell r="B56" t="str">
            <v>TS3</v>
          </cell>
          <cell r="D56">
            <v>163.32943811471421</v>
          </cell>
          <cell r="E56">
            <v>21.257181809329047</v>
          </cell>
          <cell r="F56">
            <v>18.988216963677086</v>
          </cell>
          <cell r="G56">
            <v>20.341805433829972</v>
          </cell>
          <cell r="H56">
            <v>17.782646801051712</v>
          </cell>
          <cell r="I56">
            <v>8.9590028240334991</v>
          </cell>
          <cell r="J56">
            <v>10.322329340734248</v>
          </cell>
          <cell r="K56">
            <v>12</v>
          </cell>
          <cell r="L56">
            <v>12</v>
          </cell>
          <cell r="M56">
            <v>10</v>
          </cell>
          <cell r="N56">
            <v>4.6742623429739991</v>
          </cell>
          <cell r="O56">
            <v>11.003992599084624</v>
          </cell>
          <cell r="P56">
            <v>16</v>
          </cell>
          <cell r="T56">
            <v>53</v>
          </cell>
          <cell r="U56" t="str">
            <v>TS3</v>
          </cell>
          <cell r="X56">
            <v>11</v>
          </cell>
          <cell r="Y56">
            <v>7</v>
          </cell>
          <cell r="Z56">
            <v>8</v>
          </cell>
          <cell r="AA56">
            <v>7</v>
          </cell>
          <cell r="AB56">
            <v>8</v>
          </cell>
          <cell r="AC56">
            <v>15</v>
          </cell>
          <cell r="AD56">
            <v>12</v>
          </cell>
          <cell r="AE56">
            <v>7</v>
          </cell>
          <cell r="AF56">
            <v>122</v>
          </cell>
          <cell r="AG56">
            <v>8</v>
          </cell>
          <cell r="AH56">
            <v>18</v>
          </cell>
          <cell r="AI56">
            <v>11</v>
          </cell>
        </row>
        <row r="57">
          <cell r="A57">
            <v>54</v>
          </cell>
          <cell r="B57" t="str">
            <v>TS4</v>
          </cell>
          <cell r="D57">
            <v>253141.26799104098</v>
          </cell>
          <cell r="E57">
            <v>47690.68166325835</v>
          </cell>
          <cell r="F57">
            <v>54873.618658097177</v>
          </cell>
          <cell r="G57">
            <v>0</v>
          </cell>
          <cell r="H57">
            <v>23823.078196513779</v>
          </cell>
          <cell r="I57">
            <v>42378.420488849937</v>
          </cell>
          <cell r="J57">
            <v>13224.656733859189</v>
          </cell>
          <cell r="K57">
            <v>7936</v>
          </cell>
          <cell r="L57">
            <v>12526</v>
          </cell>
          <cell r="M57">
            <v>13482</v>
          </cell>
          <cell r="N57">
            <v>8891.4207809913332</v>
          </cell>
          <cell r="O57">
            <v>12420.391469471224</v>
          </cell>
          <cell r="P57">
            <v>15895</v>
          </cell>
          <cell r="T57">
            <v>54</v>
          </cell>
          <cell r="U57" t="str">
            <v>TS4</v>
          </cell>
          <cell r="X57">
            <v>174861</v>
          </cell>
          <cell r="Y57">
            <v>30073</v>
          </cell>
          <cell r="Z57">
            <v>11186</v>
          </cell>
          <cell r="AA57">
            <v>123927</v>
          </cell>
          <cell r="AB57">
            <v>56441</v>
          </cell>
          <cell r="AC57">
            <v>20520</v>
          </cell>
          <cell r="AD57">
            <v>9654</v>
          </cell>
          <cell r="AE57">
            <v>9306</v>
          </cell>
          <cell r="AF57">
            <v>7456</v>
          </cell>
          <cell r="AG57">
            <v>3405</v>
          </cell>
          <cell r="AH57">
            <v>15109</v>
          </cell>
          <cell r="AI57">
            <v>221</v>
          </cell>
        </row>
        <row r="58">
          <cell r="A58">
            <v>55</v>
          </cell>
          <cell r="D58">
            <v>272188.61729477067</v>
          </cell>
          <cell r="E58">
            <v>49600.910507352222</v>
          </cell>
          <cell r="F58">
            <v>56691.66228454571</v>
          </cell>
          <cell r="G58">
            <v>1769.3543675138767</v>
          </cell>
          <cell r="H58">
            <v>25353.887428181908</v>
          </cell>
          <cell r="I58">
            <v>43806.797156490407</v>
          </cell>
          <cell r="J58">
            <v>14535.495179666959</v>
          </cell>
          <cell r="K58">
            <v>9391</v>
          </cell>
          <cell r="L58">
            <v>13934</v>
          </cell>
          <cell r="M58">
            <v>15013</v>
          </cell>
          <cell r="N58">
            <v>10392.638036809816</v>
          </cell>
          <cell r="O58">
            <v>13818.872334209758</v>
          </cell>
          <cell r="P58">
            <v>17881</v>
          </cell>
          <cell r="T58">
            <v>55</v>
          </cell>
          <cell r="X58">
            <v>176729</v>
          </cell>
          <cell r="Y58">
            <v>31682</v>
          </cell>
          <cell r="Z58">
            <v>12809</v>
          </cell>
          <cell r="AA58">
            <v>125550</v>
          </cell>
          <cell r="AB58">
            <v>57854</v>
          </cell>
          <cell r="AC58">
            <v>21915</v>
          </cell>
          <cell r="AD58">
            <v>11094</v>
          </cell>
          <cell r="AE58">
            <v>10519</v>
          </cell>
          <cell r="AF58">
            <v>9092</v>
          </cell>
          <cell r="AG58">
            <v>4971</v>
          </cell>
          <cell r="AH58">
            <v>16541</v>
          </cell>
          <cell r="AI58">
            <v>1993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655</v>
          </cell>
          <cell r="F62">
            <v>650</v>
          </cell>
          <cell r="G62">
            <v>657</v>
          </cell>
          <cell r="H62">
            <v>647</v>
          </cell>
          <cell r="I62">
            <v>636</v>
          </cell>
          <cell r="J62">
            <v>626</v>
          </cell>
          <cell r="K62">
            <v>614</v>
          </cell>
          <cell r="L62">
            <v>608</v>
          </cell>
          <cell r="M62">
            <v>603</v>
          </cell>
          <cell r="N62">
            <v>599</v>
          </cell>
          <cell r="O62">
            <v>599</v>
          </cell>
          <cell r="P62">
            <v>599</v>
          </cell>
          <cell r="T62">
            <v>59</v>
          </cell>
          <cell r="U62" t="str">
            <v>Residential</v>
          </cell>
          <cell r="X62">
            <v>718</v>
          </cell>
          <cell r="Y62">
            <v>705</v>
          </cell>
          <cell r="Z62">
            <v>704</v>
          </cell>
          <cell r="AA62">
            <v>690</v>
          </cell>
          <cell r="AB62">
            <v>653</v>
          </cell>
          <cell r="AC62">
            <v>639</v>
          </cell>
          <cell r="AD62">
            <v>626</v>
          </cell>
          <cell r="AE62">
            <v>615</v>
          </cell>
          <cell r="AF62">
            <v>607</v>
          </cell>
          <cell r="AG62">
            <v>609</v>
          </cell>
          <cell r="AH62">
            <v>618</v>
          </cell>
          <cell r="AI62">
            <v>647</v>
          </cell>
        </row>
        <row r="63">
          <cell r="A63">
            <v>60</v>
          </cell>
          <cell r="B63" t="str">
            <v>Commercial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  <cell r="N63">
            <v>4</v>
          </cell>
          <cell r="O63">
            <v>4</v>
          </cell>
          <cell r="P63">
            <v>4</v>
          </cell>
          <cell r="T63">
            <v>60</v>
          </cell>
          <cell r="U63" t="str">
            <v>Commercial</v>
          </cell>
          <cell r="X63">
            <v>29</v>
          </cell>
          <cell r="Y63">
            <v>30</v>
          </cell>
          <cell r="Z63">
            <v>30</v>
          </cell>
          <cell r="AA63">
            <v>30</v>
          </cell>
          <cell r="AB63">
            <v>30</v>
          </cell>
          <cell r="AC63">
            <v>30</v>
          </cell>
          <cell r="AD63">
            <v>30</v>
          </cell>
          <cell r="AE63">
            <v>27</v>
          </cell>
          <cell r="AF63">
            <v>27</v>
          </cell>
          <cell r="AG63">
            <v>27</v>
          </cell>
          <cell r="AH63">
            <v>27</v>
          </cell>
          <cell r="AI63">
            <v>25</v>
          </cell>
        </row>
        <row r="64">
          <cell r="A64">
            <v>61</v>
          </cell>
          <cell r="B64" t="str">
            <v>Commercial Small Transp</v>
          </cell>
          <cell r="E64">
            <v>22</v>
          </cell>
          <cell r="F64">
            <v>24</v>
          </cell>
          <cell r="G64">
            <v>23</v>
          </cell>
          <cell r="H64">
            <v>23</v>
          </cell>
          <cell r="I64">
            <v>23</v>
          </cell>
          <cell r="J64">
            <v>23</v>
          </cell>
          <cell r="K64">
            <v>23</v>
          </cell>
          <cell r="L64">
            <v>22</v>
          </cell>
          <cell r="M64">
            <v>22</v>
          </cell>
          <cell r="N64">
            <v>22</v>
          </cell>
          <cell r="O64">
            <v>22</v>
          </cell>
          <cell r="P64">
            <v>22</v>
          </cell>
          <cell r="T64">
            <v>61</v>
          </cell>
          <cell r="U64" t="str">
            <v>Special Contract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62</v>
          </cell>
          <cell r="B65" t="str">
            <v>Other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E66">
            <v>681</v>
          </cell>
          <cell r="F66">
            <v>678</v>
          </cell>
          <cell r="G66">
            <v>684</v>
          </cell>
          <cell r="H66">
            <v>674</v>
          </cell>
          <cell r="I66">
            <v>663</v>
          </cell>
          <cell r="J66">
            <v>653</v>
          </cell>
          <cell r="K66">
            <v>641</v>
          </cell>
          <cell r="L66">
            <v>634</v>
          </cell>
          <cell r="M66">
            <v>629</v>
          </cell>
          <cell r="N66">
            <v>625</v>
          </cell>
          <cell r="O66">
            <v>625</v>
          </cell>
          <cell r="P66">
            <v>625</v>
          </cell>
          <cell r="T66">
            <v>63</v>
          </cell>
          <cell r="X66">
            <v>747</v>
          </cell>
          <cell r="Y66">
            <v>735</v>
          </cell>
          <cell r="Z66">
            <v>734</v>
          </cell>
          <cell r="AA66">
            <v>720</v>
          </cell>
          <cell r="AB66">
            <v>683</v>
          </cell>
          <cell r="AC66">
            <v>669</v>
          </cell>
          <cell r="AD66">
            <v>656</v>
          </cell>
          <cell r="AE66">
            <v>642</v>
          </cell>
          <cell r="AF66">
            <v>634</v>
          </cell>
          <cell r="AG66">
            <v>636</v>
          </cell>
          <cell r="AH66">
            <v>645</v>
          </cell>
          <cell r="AI66">
            <v>672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2150.0613496932515</v>
          </cell>
          <cell r="E69">
            <v>1017.2830850131463</v>
          </cell>
          <cell r="F69">
            <v>1132.7782646801052</v>
          </cell>
          <cell r="G69">
            <v>938.7389229720518</v>
          </cell>
          <cell r="H69">
            <v>591.69831531794716</v>
          </cell>
          <cell r="I69">
            <v>479.585159217061</v>
          </cell>
          <cell r="J69">
            <v>437.53043139546207</v>
          </cell>
          <cell r="K69">
            <v>460</v>
          </cell>
          <cell r="L69">
            <v>436</v>
          </cell>
          <cell r="M69">
            <v>428</v>
          </cell>
          <cell r="N69">
            <v>421.65741552244617</v>
          </cell>
          <cell r="O69">
            <v>435.58282208588957</v>
          </cell>
          <cell r="P69">
            <v>551</v>
          </cell>
          <cell r="T69">
            <v>66</v>
          </cell>
          <cell r="U69" t="str">
            <v>Residential</v>
          </cell>
          <cell r="X69">
            <v>1302</v>
          </cell>
          <cell r="Y69">
            <v>1239</v>
          </cell>
          <cell r="Z69">
            <v>775</v>
          </cell>
          <cell r="AA69">
            <v>760</v>
          </cell>
          <cell r="AB69">
            <v>608</v>
          </cell>
          <cell r="AC69">
            <v>513</v>
          </cell>
          <cell r="AD69">
            <v>499</v>
          </cell>
          <cell r="AE69">
            <v>422</v>
          </cell>
          <cell r="AF69">
            <v>413</v>
          </cell>
          <cell r="AG69">
            <v>467</v>
          </cell>
          <cell r="AH69">
            <v>567</v>
          </cell>
          <cell r="AI69">
            <v>987</v>
          </cell>
        </row>
        <row r="70">
          <cell r="A70">
            <v>67</v>
          </cell>
          <cell r="B70" t="str">
            <v>Commercial</v>
          </cell>
          <cell r="D70">
            <v>8.8674651864835923</v>
          </cell>
          <cell r="E70">
            <v>2.9369948388353295</v>
          </cell>
          <cell r="F70">
            <v>5.9304703476482619</v>
          </cell>
          <cell r="G70">
            <v>0.91148115687992981</v>
          </cell>
          <cell r="H70">
            <v>0.60765410458661995</v>
          </cell>
          <cell r="I70">
            <v>0.91148115687992981</v>
          </cell>
          <cell r="J70">
            <v>1.3633265167007498</v>
          </cell>
          <cell r="K70">
            <v>1</v>
          </cell>
          <cell r="L70">
            <v>1</v>
          </cell>
          <cell r="M70">
            <v>1</v>
          </cell>
          <cell r="N70">
            <v>0.58428279287174989</v>
          </cell>
          <cell r="O70">
            <v>0.58428279287174989</v>
          </cell>
          <cell r="P70">
            <v>0</v>
          </cell>
          <cell r="T70">
            <v>67</v>
          </cell>
          <cell r="U70" t="str">
            <v>Commercial</v>
          </cell>
          <cell r="X70">
            <v>1082</v>
          </cell>
          <cell r="Y70">
            <v>1113</v>
          </cell>
          <cell r="Z70">
            <v>960</v>
          </cell>
          <cell r="AA70">
            <v>943</v>
          </cell>
          <cell r="AB70">
            <v>479</v>
          </cell>
          <cell r="AC70">
            <v>379</v>
          </cell>
          <cell r="AD70">
            <v>284</v>
          </cell>
          <cell r="AE70">
            <v>155</v>
          </cell>
          <cell r="AF70">
            <v>166</v>
          </cell>
          <cell r="AG70">
            <v>464</v>
          </cell>
          <cell r="AH70">
            <v>813</v>
          </cell>
          <cell r="AI70">
            <v>761</v>
          </cell>
        </row>
        <row r="71">
          <cell r="A71">
            <v>68</v>
          </cell>
          <cell r="B71" t="str">
            <v>Commercial Small Transp</v>
          </cell>
          <cell r="D71">
            <v>1899</v>
          </cell>
          <cell r="E71">
            <v>949</v>
          </cell>
          <cell r="F71">
            <v>950</v>
          </cell>
          <cell r="G71">
            <v>1027</v>
          </cell>
          <cell r="H71">
            <v>638</v>
          </cell>
          <cell r="I71">
            <v>494</v>
          </cell>
          <cell r="J71">
            <v>396</v>
          </cell>
          <cell r="K71">
            <v>295</v>
          </cell>
          <cell r="L71">
            <v>318</v>
          </cell>
          <cell r="M71">
            <v>304</v>
          </cell>
          <cell r="N71">
            <v>388.93757912162818</v>
          </cell>
          <cell r="O71">
            <v>501.21725581848278</v>
          </cell>
          <cell r="P71">
            <v>851</v>
          </cell>
          <cell r="T71">
            <v>68</v>
          </cell>
          <cell r="U71" t="str">
            <v>Special Contract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69</v>
          </cell>
          <cell r="D72">
            <v>4057.928814879735</v>
          </cell>
          <cell r="E72">
            <v>1969.2200798519816</v>
          </cell>
          <cell r="F72">
            <v>2088.7087350277534</v>
          </cell>
          <cell r="G72">
            <v>1966.6504041289318</v>
          </cell>
          <cell r="H72">
            <v>1230.3059694225337</v>
          </cell>
          <cell r="I72">
            <v>974.49664037394086</v>
          </cell>
          <cell r="J72">
            <v>834.89375791216276</v>
          </cell>
          <cell r="K72">
            <v>756</v>
          </cell>
          <cell r="L72">
            <v>755</v>
          </cell>
          <cell r="M72">
            <v>733</v>
          </cell>
          <cell r="N72">
            <v>811.17927743694611</v>
          </cell>
          <cell r="O72">
            <v>937.38436069724412</v>
          </cell>
          <cell r="P72">
            <v>1402</v>
          </cell>
          <cell r="T72">
            <v>69</v>
          </cell>
          <cell r="X72">
            <v>2384</v>
          </cell>
          <cell r="Y72">
            <v>2352</v>
          </cell>
          <cell r="Z72">
            <v>1735</v>
          </cell>
          <cell r="AA72">
            <v>1703</v>
          </cell>
          <cell r="AB72">
            <v>1087</v>
          </cell>
          <cell r="AC72">
            <v>892</v>
          </cell>
          <cell r="AD72">
            <v>783</v>
          </cell>
          <cell r="AE72">
            <v>577</v>
          </cell>
          <cell r="AF72">
            <v>579</v>
          </cell>
          <cell r="AG72">
            <v>931</v>
          </cell>
          <cell r="AH72">
            <v>1380</v>
          </cell>
          <cell r="AI72">
            <v>1748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</row>
        <row r="76">
          <cell r="A76">
            <v>73</v>
          </cell>
          <cell r="B76" t="str">
            <v xml:space="preserve">Customers </v>
          </cell>
          <cell r="D76">
            <v>708815</v>
          </cell>
          <cell r="E76">
            <v>58823</v>
          </cell>
          <cell r="F76">
            <v>59020</v>
          </cell>
          <cell r="G76">
            <v>59259</v>
          </cell>
          <cell r="H76">
            <v>59414</v>
          </cell>
          <cell r="I76">
            <v>59385</v>
          </cell>
          <cell r="J76">
            <v>59269.3</v>
          </cell>
          <cell r="K76">
            <v>58986</v>
          </cell>
          <cell r="L76">
            <v>58910</v>
          </cell>
          <cell r="M76">
            <v>58805</v>
          </cell>
          <cell r="N76">
            <v>58804</v>
          </cell>
          <cell r="O76">
            <v>58940</v>
          </cell>
          <cell r="P76">
            <v>59199.7</v>
          </cell>
          <cell r="T76">
            <v>73</v>
          </cell>
        </row>
        <row r="77">
          <cell r="A77">
            <v>74</v>
          </cell>
          <cell r="B77" t="str">
            <v>Volume (mcfs)</v>
          </cell>
          <cell r="D77">
            <v>8352628.0643684883</v>
          </cell>
          <cell r="E77">
            <v>961993.65079365089</v>
          </cell>
          <cell r="F77">
            <v>755963.9692277729</v>
          </cell>
          <cell r="G77">
            <v>737500.89590028254</v>
          </cell>
          <cell r="H77">
            <v>805116.50598889857</v>
          </cell>
          <cell r="I77">
            <v>676926.10770279483</v>
          </cell>
          <cell r="J77">
            <v>581891.13837764144</v>
          </cell>
          <cell r="K77">
            <v>548761.82685753237</v>
          </cell>
          <cell r="L77">
            <v>537896.5819456618</v>
          </cell>
          <cell r="M77">
            <v>575134.59927938459</v>
          </cell>
          <cell r="N77">
            <v>620397</v>
          </cell>
          <cell r="O77">
            <v>702747.24900185014</v>
          </cell>
          <cell r="P77">
            <v>848298.5392930177</v>
          </cell>
          <cell r="T77">
            <v>74</v>
          </cell>
        </row>
        <row r="78">
          <cell r="A78">
            <v>75</v>
          </cell>
          <cell r="B78" t="str">
            <v>Volume (dts) (mcfs*1.0269)</v>
          </cell>
          <cell r="D78">
            <v>8577314</v>
          </cell>
          <cell r="E78">
            <v>987871</v>
          </cell>
          <cell r="F78">
            <v>776299</v>
          </cell>
          <cell r="G78">
            <v>757340</v>
          </cell>
          <cell r="H78">
            <v>826774</v>
          </cell>
          <cell r="I78">
            <v>695135</v>
          </cell>
          <cell r="J78">
            <v>597544</v>
          </cell>
          <cell r="K78">
            <v>563524</v>
          </cell>
          <cell r="L78">
            <v>552366</v>
          </cell>
          <cell r="M78">
            <v>590606</v>
          </cell>
          <cell r="N78">
            <v>637086</v>
          </cell>
          <cell r="O78">
            <v>721651</v>
          </cell>
          <cell r="P78">
            <v>871118</v>
          </cell>
          <cell r="T78">
            <v>75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- 2015 -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1247820</v>
          </cell>
          <cell r="E81">
            <v>177433</v>
          </cell>
          <cell r="F81">
            <v>191097</v>
          </cell>
          <cell r="G81">
            <v>146435</v>
          </cell>
          <cell r="H81">
            <v>108264</v>
          </cell>
          <cell r="I81">
            <v>82149</v>
          </cell>
          <cell r="J81">
            <v>68015</v>
          </cell>
          <cell r="K81">
            <v>66207</v>
          </cell>
          <cell r="L81">
            <v>64253</v>
          </cell>
          <cell r="M81">
            <v>66717</v>
          </cell>
          <cell r="N81">
            <v>68887</v>
          </cell>
          <cell r="O81">
            <v>86280</v>
          </cell>
          <cell r="P81">
            <v>122083</v>
          </cell>
          <cell r="T81">
            <v>78</v>
          </cell>
          <cell r="U81" t="str">
            <v>Volumes (in DTs)</v>
          </cell>
          <cell r="W81">
            <v>1281619</v>
          </cell>
          <cell r="X81">
            <v>176519</v>
          </cell>
          <cell r="Y81">
            <v>171459</v>
          </cell>
          <cell r="Z81">
            <v>136179</v>
          </cell>
          <cell r="AA81">
            <v>119242</v>
          </cell>
          <cell r="AB81">
            <v>87467</v>
          </cell>
          <cell r="AC81">
            <v>73901</v>
          </cell>
          <cell r="AD81">
            <v>68723</v>
          </cell>
          <cell r="AE81">
            <v>59458</v>
          </cell>
          <cell r="AF81">
            <v>64482</v>
          </cell>
          <cell r="AG81">
            <v>69663</v>
          </cell>
          <cell r="AH81">
            <v>98190</v>
          </cell>
          <cell r="AI81">
            <v>156336</v>
          </cell>
        </row>
        <row r="82">
          <cell r="A82">
            <v>79</v>
          </cell>
          <cell r="B82" t="str">
            <v>Commercial</v>
          </cell>
          <cell r="D82">
            <v>2417819</v>
          </cell>
          <cell r="E82">
            <v>263146</v>
          </cell>
          <cell r="F82">
            <v>306769</v>
          </cell>
          <cell r="G82">
            <v>266917</v>
          </cell>
          <cell r="H82">
            <v>221871</v>
          </cell>
          <cell r="I82">
            <v>199698</v>
          </cell>
          <cell r="J82">
            <v>158664</v>
          </cell>
          <cell r="K82">
            <v>159997</v>
          </cell>
          <cell r="L82">
            <v>157904</v>
          </cell>
          <cell r="M82">
            <v>151110</v>
          </cell>
          <cell r="N82">
            <v>162046</v>
          </cell>
          <cell r="O82">
            <v>168916</v>
          </cell>
          <cell r="P82">
            <v>200781</v>
          </cell>
          <cell r="T82">
            <v>79</v>
          </cell>
          <cell r="U82" t="str">
            <v>Residential</v>
          </cell>
          <cell r="W82">
            <v>2596547</v>
          </cell>
          <cell r="X82">
            <v>281864</v>
          </cell>
          <cell r="Y82">
            <v>267346</v>
          </cell>
          <cell r="Z82">
            <v>250944</v>
          </cell>
          <cell r="AA82">
            <v>233986</v>
          </cell>
          <cell r="AB82">
            <v>203274</v>
          </cell>
          <cell r="AC82">
            <v>183899</v>
          </cell>
          <cell r="AD82">
            <v>189263</v>
          </cell>
          <cell r="AE82">
            <v>162919</v>
          </cell>
          <cell r="AF82">
            <v>166178</v>
          </cell>
          <cell r="AG82">
            <v>184282</v>
          </cell>
          <cell r="AH82">
            <v>213858</v>
          </cell>
          <cell r="AI82">
            <v>258734</v>
          </cell>
        </row>
        <row r="83">
          <cell r="A83">
            <v>80</v>
          </cell>
          <cell r="B83" t="str">
            <v xml:space="preserve">Industrial </v>
          </cell>
          <cell r="D83">
            <v>3987899</v>
          </cell>
          <cell r="E83">
            <v>396500</v>
          </cell>
          <cell r="F83">
            <v>394586</v>
          </cell>
          <cell r="G83">
            <v>338681</v>
          </cell>
          <cell r="H83">
            <v>342179</v>
          </cell>
          <cell r="I83">
            <v>331814</v>
          </cell>
          <cell r="J83">
            <v>350301</v>
          </cell>
          <cell r="K83">
            <v>296168</v>
          </cell>
          <cell r="L83">
            <v>298544</v>
          </cell>
          <cell r="M83">
            <v>286844</v>
          </cell>
          <cell r="N83">
            <v>298354</v>
          </cell>
          <cell r="O83">
            <v>312797</v>
          </cell>
          <cell r="P83">
            <v>341131</v>
          </cell>
          <cell r="T83">
            <v>80</v>
          </cell>
          <cell r="W83">
            <v>3841935</v>
          </cell>
          <cell r="X83">
            <v>493484</v>
          </cell>
          <cell r="Y83">
            <v>322018</v>
          </cell>
          <cell r="Z83">
            <v>313512</v>
          </cell>
          <cell r="AA83">
            <v>412758</v>
          </cell>
          <cell r="AB83">
            <v>327526</v>
          </cell>
          <cell r="AC83">
            <v>276639</v>
          </cell>
          <cell r="AD83">
            <v>267397</v>
          </cell>
          <cell r="AE83">
            <v>262547</v>
          </cell>
          <cell r="AF83">
            <v>254880</v>
          </cell>
          <cell r="AG83">
            <v>272324</v>
          </cell>
          <cell r="AH83">
            <v>315275</v>
          </cell>
          <cell r="AI83">
            <v>323575</v>
          </cell>
        </row>
        <row r="84">
          <cell r="A84">
            <v>81</v>
          </cell>
          <cell r="B84" t="str">
            <v>Other</v>
          </cell>
          <cell r="D84">
            <v>-84763</v>
          </cell>
          <cell r="E84">
            <v>-37589</v>
          </cell>
          <cell r="F84">
            <v>-5845</v>
          </cell>
          <cell r="G84">
            <v>-38123</v>
          </cell>
          <cell r="H84">
            <v>44554</v>
          </cell>
          <cell r="I84">
            <v>507</v>
          </cell>
          <cell r="J84">
            <v>-72137</v>
          </cell>
          <cell r="K84">
            <v>-31454</v>
          </cell>
          <cell r="L84">
            <v>15156</v>
          </cell>
          <cell r="M84">
            <v>-26700</v>
          </cell>
          <cell r="N84">
            <v>42496</v>
          </cell>
          <cell r="O84">
            <v>23498</v>
          </cell>
          <cell r="P84">
            <v>874</v>
          </cell>
          <cell r="T84">
            <v>81</v>
          </cell>
          <cell r="W84">
            <v>34453</v>
          </cell>
          <cell r="X84">
            <v>-18509</v>
          </cell>
          <cell r="Y84">
            <v>-20237</v>
          </cell>
          <cell r="Z84">
            <v>8740</v>
          </cell>
          <cell r="AA84">
            <v>-31941</v>
          </cell>
          <cell r="AB84">
            <v>-4014</v>
          </cell>
          <cell r="AC84">
            <v>-16800</v>
          </cell>
          <cell r="AD84">
            <v>-26646</v>
          </cell>
          <cell r="AE84">
            <v>27609</v>
          </cell>
          <cell r="AF84">
            <v>-16165</v>
          </cell>
          <cell r="AG84">
            <v>13725</v>
          </cell>
          <cell r="AH84">
            <v>71823</v>
          </cell>
          <cell r="AI84">
            <v>46868</v>
          </cell>
        </row>
        <row r="85">
          <cell r="A85">
            <v>82</v>
          </cell>
          <cell r="B85" t="str">
            <v>Total Deliveries</v>
          </cell>
          <cell r="D85">
            <v>7568775</v>
          </cell>
          <cell r="E85">
            <v>799490</v>
          </cell>
          <cell r="F85">
            <v>886607</v>
          </cell>
          <cell r="G85">
            <v>713910</v>
          </cell>
          <cell r="H85">
            <v>716868</v>
          </cell>
          <cell r="I85">
            <v>614168</v>
          </cell>
          <cell r="J85">
            <v>504843</v>
          </cell>
          <cell r="K85">
            <v>490918</v>
          </cell>
          <cell r="L85">
            <v>535857</v>
          </cell>
          <cell r="M85">
            <v>477971</v>
          </cell>
          <cell r="N85">
            <v>571783</v>
          </cell>
          <cell r="O85">
            <v>591491</v>
          </cell>
          <cell r="P85">
            <v>664869</v>
          </cell>
          <cell r="T85">
            <v>82</v>
          </cell>
          <cell r="U85">
            <v>0</v>
          </cell>
          <cell r="W85">
            <v>7754554</v>
          </cell>
          <cell r="X85">
            <v>933358</v>
          </cell>
          <cell r="Y85">
            <v>740586</v>
          </cell>
          <cell r="Z85">
            <v>709375</v>
          </cell>
          <cell r="AA85">
            <v>734045</v>
          </cell>
          <cell r="AB85">
            <v>614253</v>
          </cell>
          <cell r="AC85">
            <v>517639</v>
          </cell>
          <cell r="AD85">
            <v>498737</v>
          </cell>
          <cell r="AE85">
            <v>512533</v>
          </cell>
          <cell r="AF85">
            <v>469375</v>
          </cell>
          <cell r="AG85">
            <v>539994</v>
          </cell>
          <cell r="AH85">
            <v>699146</v>
          </cell>
          <cell r="AI85">
            <v>785513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- 2015</v>
          </cell>
          <cell r="T89">
            <v>86</v>
          </cell>
          <cell r="U89" t="str">
            <v>Customers - 2014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51478</v>
          </cell>
          <cell r="F91">
            <v>51547</v>
          </cell>
          <cell r="G91">
            <v>51649</v>
          </cell>
          <cell r="H91">
            <v>51741</v>
          </cell>
          <cell r="I91">
            <v>51774</v>
          </cell>
          <cell r="J91">
            <v>51811</v>
          </cell>
          <cell r="K91">
            <v>51842</v>
          </cell>
          <cell r="L91">
            <v>51879</v>
          </cell>
          <cell r="M91">
            <v>51907</v>
          </cell>
          <cell r="N91">
            <v>51940</v>
          </cell>
          <cell r="O91">
            <v>51991</v>
          </cell>
          <cell r="P91">
            <v>52046</v>
          </cell>
          <cell r="T91">
            <v>88</v>
          </cell>
          <cell r="U91" t="str">
            <v>Residential</v>
          </cell>
          <cell r="X91">
            <v>50512</v>
          </cell>
          <cell r="Y91">
            <v>50594</v>
          </cell>
          <cell r="Z91">
            <v>50713</v>
          </cell>
          <cell r="AA91">
            <v>50784</v>
          </cell>
          <cell r="AB91">
            <v>50821</v>
          </cell>
          <cell r="AC91">
            <v>50826</v>
          </cell>
          <cell r="AD91">
            <v>50827</v>
          </cell>
          <cell r="AE91">
            <v>50796</v>
          </cell>
          <cell r="AF91">
            <v>50781</v>
          </cell>
          <cell r="AG91">
            <v>50778</v>
          </cell>
          <cell r="AH91">
            <v>50794</v>
          </cell>
          <cell r="AI91">
            <v>50835</v>
          </cell>
        </row>
        <row r="92">
          <cell r="A92">
            <v>89</v>
          </cell>
          <cell r="B92" t="str">
            <v>Commercial</v>
          </cell>
          <cell r="E92">
            <v>4270</v>
          </cell>
          <cell r="F92">
            <v>4279</v>
          </cell>
          <cell r="G92">
            <v>4288</v>
          </cell>
          <cell r="H92">
            <v>4286</v>
          </cell>
          <cell r="I92">
            <v>4282</v>
          </cell>
          <cell r="J92">
            <v>4276</v>
          </cell>
          <cell r="K92">
            <v>4270</v>
          </cell>
          <cell r="L92">
            <v>4264</v>
          </cell>
          <cell r="M92">
            <v>4258</v>
          </cell>
          <cell r="N92">
            <v>4252</v>
          </cell>
          <cell r="O92">
            <v>4250</v>
          </cell>
          <cell r="P92">
            <v>4249</v>
          </cell>
          <cell r="T92">
            <v>89</v>
          </cell>
          <cell r="U92" t="str">
            <v>Commercial</v>
          </cell>
          <cell r="X92">
            <v>4401</v>
          </cell>
          <cell r="Y92">
            <v>4407</v>
          </cell>
          <cell r="Z92">
            <v>4415</v>
          </cell>
          <cell r="AA92">
            <v>4416</v>
          </cell>
          <cell r="AB92">
            <v>4411</v>
          </cell>
          <cell r="AC92">
            <v>4403</v>
          </cell>
          <cell r="AD92">
            <v>4398</v>
          </cell>
          <cell r="AE92">
            <v>4391</v>
          </cell>
          <cell r="AF92">
            <v>4383</v>
          </cell>
          <cell r="AG92">
            <v>4378</v>
          </cell>
          <cell r="AH92">
            <v>4372</v>
          </cell>
          <cell r="AI92">
            <v>4368</v>
          </cell>
        </row>
        <row r="93">
          <cell r="A93">
            <v>90</v>
          </cell>
          <cell r="B93" t="str">
            <v xml:space="preserve">Industrial </v>
          </cell>
          <cell r="E93">
            <v>1527</v>
          </cell>
          <cell r="F93">
            <v>1537</v>
          </cell>
          <cell r="G93">
            <v>1546</v>
          </cell>
          <cell r="H93">
            <v>1556</v>
          </cell>
          <cell r="I93">
            <v>1566</v>
          </cell>
          <cell r="J93">
            <v>1577</v>
          </cell>
          <cell r="K93">
            <v>1586</v>
          </cell>
          <cell r="L93">
            <v>1595</v>
          </cell>
          <cell r="M93">
            <v>1606</v>
          </cell>
          <cell r="N93">
            <v>1616</v>
          </cell>
          <cell r="O93">
            <v>1625</v>
          </cell>
          <cell r="P93">
            <v>1633</v>
          </cell>
          <cell r="T93">
            <v>90</v>
          </cell>
          <cell r="U93" t="str">
            <v xml:space="preserve">Industrial </v>
          </cell>
          <cell r="X93">
            <v>1205</v>
          </cell>
          <cell r="Y93">
            <v>1214</v>
          </cell>
          <cell r="Z93">
            <v>1221</v>
          </cell>
          <cell r="AA93">
            <v>1228</v>
          </cell>
          <cell r="AB93">
            <v>1238</v>
          </cell>
          <cell r="AC93">
            <v>1247</v>
          </cell>
          <cell r="AD93">
            <v>1256</v>
          </cell>
          <cell r="AE93">
            <v>1267</v>
          </cell>
          <cell r="AF93">
            <v>1280</v>
          </cell>
          <cell r="AG93">
            <v>1294</v>
          </cell>
          <cell r="AH93">
            <v>1307</v>
          </cell>
          <cell r="AI93">
            <v>1321</v>
          </cell>
        </row>
        <row r="94">
          <cell r="A94">
            <v>91</v>
          </cell>
          <cell r="B94" t="str">
            <v>Other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57275</v>
          </cell>
          <cell r="F95">
            <v>57363</v>
          </cell>
          <cell r="G95">
            <v>57483</v>
          </cell>
          <cell r="H95">
            <v>57583</v>
          </cell>
          <cell r="I95">
            <v>57622</v>
          </cell>
          <cell r="J95">
            <v>57664</v>
          </cell>
          <cell r="K95">
            <v>57698</v>
          </cell>
          <cell r="L95">
            <v>57738</v>
          </cell>
          <cell r="M95">
            <v>57771</v>
          </cell>
          <cell r="N95">
            <v>57808</v>
          </cell>
          <cell r="O95">
            <v>57866</v>
          </cell>
          <cell r="P95">
            <v>57928</v>
          </cell>
          <cell r="T95">
            <v>92</v>
          </cell>
          <cell r="U95" t="str">
            <v>Total customers</v>
          </cell>
          <cell r="X95">
            <v>56118</v>
          </cell>
          <cell r="Y95">
            <v>56215</v>
          </cell>
          <cell r="Z95">
            <v>56349</v>
          </cell>
          <cell r="AA95">
            <v>56428</v>
          </cell>
          <cell r="AB95">
            <v>56470</v>
          </cell>
          <cell r="AC95">
            <v>56476</v>
          </cell>
          <cell r="AD95">
            <v>56481</v>
          </cell>
          <cell r="AE95">
            <v>56454</v>
          </cell>
          <cell r="AF95">
            <v>56444</v>
          </cell>
          <cell r="AG95">
            <v>56450</v>
          </cell>
          <cell r="AH95">
            <v>56473</v>
          </cell>
          <cell r="AI95">
            <v>56524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- 2015 -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- 2014 -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172785.19330022397</v>
          </cell>
          <cell r="F99">
            <v>358876.34725873987</v>
          </cell>
          <cell r="G99">
            <v>501475.45622748416</v>
          </cell>
          <cell r="H99">
            <v>606903.30411919707</v>
          </cell>
          <cell r="I99">
            <v>686900.56383289851</v>
          </cell>
          <cell r="J99">
            <v>753133.59528678888</v>
          </cell>
          <cell r="K99">
            <v>817606.59528678888</v>
          </cell>
          <cell r="L99">
            <v>880176.59528678888</v>
          </cell>
          <cell r="M99">
            <v>945145.59528678888</v>
          </cell>
          <cell r="N99">
            <v>1012228.0765410493</v>
          </cell>
          <cell r="O99">
            <v>1096248.0395364724</v>
          </cell>
          <cell r="P99">
            <v>1215133.0395364724</v>
          </cell>
          <cell r="T99">
            <v>96</v>
          </cell>
          <cell r="U99" t="str">
            <v>Residential</v>
          </cell>
          <cell r="X99">
            <v>171895</v>
          </cell>
          <cell r="Y99">
            <v>338863</v>
          </cell>
          <cell r="Z99">
            <v>471475</v>
          </cell>
          <cell r="AA99">
            <v>587593</v>
          </cell>
          <cell r="AB99">
            <v>672769</v>
          </cell>
          <cell r="AC99">
            <v>744734</v>
          </cell>
          <cell r="AD99">
            <v>811657</v>
          </cell>
          <cell r="AE99">
            <v>869557.26633557305</v>
          </cell>
          <cell r="AF99">
            <v>932350.26633557305</v>
          </cell>
          <cell r="AG99">
            <v>1000188.266335573</v>
          </cell>
          <cell r="AH99">
            <v>1095806.266335573</v>
          </cell>
          <cell r="AI99">
            <v>1248047.266335573</v>
          </cell>
        </row>
        <row r="100">
          <cell r="A100">
            <v>97</v>
          </cell>
          <cell r="B100" t="str">
            <v>Commercial</v>
          </cell>
          <cell r="E100">
            <v>256252.56500146046</v>
          </cell>
          <cell r="F100">
            <v>554985.19914305164</v>
          </cell>
          <cell r="G100">
            <v>814909.74583698472</v>
          </cell>
          <cell r="H100">
            <v>1030968.3396630632</v>
          </cell>
          <cell r="I100">
            <v>1225435.2166715353</v>
          </cell>
          <cell r="J100">
            <v>1379942.568896679</v>
          </cell>
          <cell r="K100">
            <v>1535748.568896679</v>
          </cell>
          <cell r="L100">
            <v>1689516.568896679</v>
          </cell>
          <cell r="M100">
            <v>1836668.568896679</v>
          </cell>
          <cell r="N100">
            <v>1994469.9117732979</v>
          </cell>
          <cell r="O100">
            <v>2158961.4883630341</v>
          </cell>
          <cell r="P100">
            <v>2354482.4883630341</v>
          </cell>
          <cell r="T100">
            <v>97</v>
          </cell>
          <cell r="U100" t="str">
            <v>Commercial</v>
          </cell>
          <cell r="X100">
            <v>274480</v>
          </cell>
          <cell r="Y100">
            <v>534823</v>
          </cell>
          <cell r="Z100">
            <v>779193</v>
          </cell>
          <cell r="AA100">
            <v>1007050</v>
          </cell>
          <cell r="AB100">
            <v>1204999</v>
          </cell>
          <cell r="AC100">
            <v>1384081</v>
          </cell>
          <cell r="AD100">
            <v>1568386</v>
          </cell>
          <cell r="AE100">
            <v>1727037.3482325445</v>
          </cell>
          <cell r="AF100">
            <v>1888862.3482325445</v>
          </cell>
          <cell r="AG100">
            <v>2068317.3482325445</v>
          </cell>
          <cell r="AH100">
            <v>2276573.3482325445</v>
          </cell>
          <cell r="AI100">
            <v>2528529.3482325445</v>
          </cell>
        </row>
        <row r="101">
          <cell r="A101">
            <v>98</v>
          </cell>
          <cell r="B101" t="str">
            <v xml:space="preserve">Industrial </v>
          </cell>
          <cell r="E101">
            <v>386113.98383484263</v>
          </cell>
          <cell r="F101">
            <v>770364.03836790333</v>
          </cell>
          <cell r="G101">
            <v>1100173.0256110625</v>
          </cell>
          <cell r="H101">
            <v>1433388.3523225242</v>
          </cell>
          <cell r="I101">
            <v>1756510.4674262344</v>
          </cell>
          <cell r="J101">
            <v>2097635.3091829782</v>
          </cell>
          <cell r="K101">
            <v>2386045.3091829782</v>
          </cell>
          <cell r="L101">
            <v>2676769.3091829782</v>
          </cell>
          <cell r="M101">
            <v>2956099.3091829782</v>
          </cell>
          <cell r="N101">
            <v>3246637.3430713797</v>
          </cell>
          <cell r="O101">
            <v>3551240.7124354853</v>
          </cell>
          <cell r="P101">
            <v>3883435.7124354853</v>
          </cell>
          <cell r="T101">
            <v>98</v>
          </cell>
          <cell r="U101" t="str">
            <v xml:space="preserve">Industrial </v>
          </cell>
          <cell r="X101">
            <v>480557</v>
          </cell>
          <cell r="Y101">
            <v>794140</v>
          </cell>
          <cell r="Z101">
            <v>1099439</v>
          </cell>
          <cell r="AA101">
            <v>1501385</v>
          </cell>
          <cell r="AB101">
            <v>1820331</v>
          </cell>
          <cell r="AC101">
            <v>2089723</v>
          </cell>
          <cell r="AD101">
            <v>2350115</v>
          </cell>
          <cell r="AE101">
            <v>2605784.618658097</v>
          </cell>
          <cell r="AF101">
            <v>2853987.618658097</v>
          </cell>
          <cell r="AG101">
            <v>3119177.618658097</v>
          </cell>
          <cell r="AH101">
            <v>3426193.618658097</v>
          </cell>
          <cell r="AI101">
            <v>3741292.618658097</v>
          </cell>
        </row>
        <row r="102">
          <cell r="A102">
            <v>99</v>
          </cell>
          <cell r="B102" t="str">
            <v>Other</v>
          </cell>
          <cell r="E102">
            <v>-36603.919466355052</v>
          </cell>
          <cell r="F102">
            <v>-42295.948875255628</v>
          </cell>
          <cell r="G102">
            <v>-79420.735806797165</v>
          </cell>
          <cell r="H102">
            <v>-36033.743694614866</v>
          </cell>
          <cell r="I102">
            <v>-35539.987145778563</v>
          </cell>
          <cell r="J102">
            <v>-105787.67202259228</v>
          </cell>
          <cell r="K102">
            <v>-136417.78644463921</v>
          </cell>
          <cell r="L102">
            <v>-121659.23721881391</v>
          </cell>
          <cell r="M102">
            <v>-147659.6485539001</v>
          </cell>
          <cell r="N102">
            <v>-106276.4564222417</v>
          </cell>
          <cell r="O102">
            <v>-83394.286785470831</v>
          </cell>
          <cell r="P102">
            <v>-82543.286785470831</v>
          </cell>
          <cell r="T102">
            <v>99</v>
          </cell>
          <cell r="U102" t="str">
            <v>Other</v>
          </cell>
          <cell r="X102">
            <v>-18024.150355438702</v>
          </cell>
          <cell r="Y102">
            <v>-37731.035154348043</v>
          </cell>
          <cell r="Z102">
            <v>-29219.982471516218</v>
          </cell>
          <cell r="AA102">
            <v>-60324.27695004383</v>
          </cell>
          <cell r="AB102">
            <v>-64233.128834355841</v>
          </cell>
          <cell r="AC102">
            <v>-80593.047034764837</v>
          </cell>
          <cell r="AD102">
            <v>-106541.04586619925</v>
          </cell>
          <cell r="AE102">
            <v>-79655.575031648652</v>
          </cell>
          <cell r="AF102">
            <v>-95397.12727626838</v>
          </cell>
          <cell r="AG102">
            <v>-82031.658389327102</v>
          </cell>
          <cell r="AH102">
            <v>-12090.086668614269</v>
          </cell>
          <cell r="AI102">
            <v>33550.189891907692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778547.82267017209</v>
          </cell>
          <cell r="F103">
            <v>1641929.6358944392</v>
          </cell>
          <cell r="G103">
            <v>2337137.4918687344</v>
          </cell>
          <cell r="H103">
            <v>3035226.2524101692</v>
          </cell>
          <cell r="I103">
            <v>3633306.2607848896</v>
          </cell>
          <cell r="J103">
            <v>4124923.8013438536</v>
          </cell>
          <cell r="K103">
            <v>4602982.686921807</v>
          </cell>
          <cell r="L103">
            <v>5124803.2361476319</v>
          </cell>
          <cell r="M103">
            <v>5590253.8248125454</v>
          </cell>
          <cell r="N103">
            <v>6147058.8749634856</v>
          </cell>
          <cell r="O103">
            <v>6723055.9535495201</v>
          </cell>
          <cell r="P103">
            <v>7370507.9535495201</v>
          </cell>
          <cell r="T103">
            <v>100</v>
          </cell>
          <cell r="U103" t="str">
            <v>Total Deliveries</v>
          </cell>
          <cell r="X103">
            <v>908907.8496445613</v>
          </cell>
          <cell r="Y103">
            <v>1630094.964845652</v>
          </cell>
          <cell r="Z103">
            <v>2320887.0175284836</v>
          </cell>
          <cell r="AA103">
            <v>3035703.7230499564</v>
          </cell>
          <cell r="AB103">
            <v>3633865.8711656444</v>
          </cell>
          <cell r="AC103">
            <v>4137944.9529652353</v>
          </cell>
          <cell r="AD103">
            <v>4623616.9541338012</v>
          </cell>
          <cell r="AE103">
            <v>5122723.6581945661</v>
          </cell>
          <cell r="AF103">
            <v>5579803.1059499457</v>
          </cell>
          <cell r="AG103">
            <v>6105651.5748368874</v>
          </cell>
          <cell r="AH103">
            <v>6786483.1465576002</v>
          </cell>
          <cell r="AI103">
            <v>7551419.4231181219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- 2015 -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- 2014 -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177433</v>
          </cell>
          <cell r="F107">
            <v>368530</v>
          </cell>
          <cell r="G107">
            <v>514965</v>
          </cell>
          <cell r="H107">
            <v>623229</v>
          </cell>
          <cell r="I107">
            <v>705378</v>
          </cell>
          <cell r="J107">
            <v>773393</v>
          </cell>
          <cell r="K107">
            <v>839600</v>
          </cell>
          <cell r="L107">
            <v>903853</v>
          </cell>
          <cell r="M107">
            <v>970570</v>
          </cell>
          <cell r="N107">
            <v>1039457</v>
          </cell>
          <cell r="O107">
            <v>1125737</v>
          </cell>
          <cell r="P107">
            <v>1247820</v>
          </cell>
          <cell r="T107">
            <v>104</v>
          </cell>
          <cell r="U107" t="str">
            <v>Residential</v>
          </cell>
          <cell r="X107">
            <v>176519</v>
          </cell>
          <cell r="Y107">
            <v>347978</v>
          </cell>
          <cell r="Z107">
            <v>484157</v>
          </cell>
          <cell r="AA107">
            <v>603399</v>
          </cell>
          <cell r="AB107">
            <v>690866</v>
          </cell>
          <cell r="AC107">
            <v>764767</v>
          </cell>
          <cell r="AD107">
            <v>833490</v>
          </cell>
          <cell r="AE107">
            <v>892948</v>
          </cell>
          <cell r="AF107">
            <v>957430</v>
          </cell>
          <cell r="AG107">
            <v>1027093</v>
          </cell>
          <cell r="AH107">
            <v>1125283</v>
          </cell>
          <cell r="AI107">
            <v>1281619</v>
          </cell>
        </row>
        <row r="108">
          <cell r="A108">
            <v>105</v>
          </cell>
          <cell r="B108" t="str">
            <v>Commercial</v>
          </cell>
          <cell r="E108">
            <v>263146</v>
          </cell>
          <cell r="F108">
            <v>569915</v>
          </cell>
          <cell r="G108">
            <v>836832</v>
          </cell>
          <cell r="H108">
            <v>1058703</v>
          </cell>
          <cell r="I108">
            <v>1258401</v>
          </cell>
          <cell r="J108">
            <v>1417065</v>
          </cell>
          <cell r="K108">
            <v>1577062</v>
          </cell>
          <cell r="L108">
            <v>1734966</v>
          </cell>
          <cell r="M108">
            <v>1886076</v>
          </cell>
          <cell r="N108">
            <v>2048122</v>
          </cell>
          <cell r="O108">
            <v>2217038</v>
          </cell>
          <cell r="P108">
            <v>2417819</v>
          </cell>
          <cell r="T108">
            <v>105</v>
          </cell>
          <cell r="U108" t="str">
            <v>Commercial</v>
          </cell>
          <cell r="X108">
            <v>281864</v>
          </cell>
          <cell r="Y108">
            <v>549210</v>
          </cell>
          <cell r="Z108">
            <v>800154</v>
          </cell>
          <cell r="AA108">
            <v>1034140</v>
          </cell>
          <cell r="AB108">
            <v>1237414</v>
          </cell>
          <cell r="AC108">
            <v>1421313</v>
          </cell>
          <cell r="AD108">
            <v>1610576</v>
          </cell>
          <cell r="AE108">
            <v>1773495</v>
          </cell>
          <cell r="AF108">
            <v>1939673</v>
          </cell>
          <cell r="AG108">
            <v>2123955</v>
          </cell>
          <cell r="AH108">
            <v>2337813</v>
          </cell>
          <cell r="AI108">
            <v>2596547</v>
          </cell>
        </row>
        <row r="109">
          <cell r="A109">
            <v>106</v>
          </cell>
          <cell r="B109" t="str">
            <v xml:space="preserve">Industrial </v>
          </cell>
          <cell r="E109">
            <v>396500</v>
          </cell>
          <cell r="F109">
            <v>791086</v>
          </cell>
          <cell r="G109">
            <v>1129767</v>
          </cell>
          <cell r="H109">
            <v>1471946</v>
          </cell>
          <cell r="I109">
            <v>1803760</v>
          </cell>
          <cell r="J109">
            <v>2154061</v>
          </cell>
          <cell r="K109">
            <v>2450229</v>
          </cell>
          <cell r="L109">
            <v>2748773</v>
          </cell>
          <cell r="M109">
            <v>3035617</v>
          </cell>
          <cell r="N109">
            <v>3333971</v>
          </cell>
          <cell r="O109">
            <v>3646768</v>
          </cell>
          <cell r="P109">
            <v>3987899</v>
          </cell>
          <cell r="T109">
            <v>106</v>
          </cell>
          <cell r="U109" t="str">
            <v xml:space="preserve">Industrial </v>
          </cell>
          <cell r="X109">
            <v>493484</v>
          </cell>
          <cell r="Y109">
            <v>815502</v>
          </cell>
          <cell r="Z109">
            <v>1129014</v>
          </cell>
          <cell r="AA109">
            <v>1541772</v>
          </cell>
          <cell r="AB109">
            <v>1869298</v>
          </cell>
          <cell r="AC109">
            <v>2145937</v>
          </cell>
          <cell r="AD109">
            <v>2413334</v>
          </cell>
          <cell r="AE109">
            <v>2675881</v>
          </cell>
          <cell r="AF109">
            <v>2930761</v>
          </cell>
          <cell r="AG109">
            <v>3203085</v>
          </cell>
          <cell r="AH109">
            <v>3518360</v>
          </cell>
          <cell r="AI109">
            <v>3841935</v>
          </cell>
        </row>
        <row r="110">
          <cell r="A110">
            <v>107</v>
          </cell>
          <cell r="B110" t="str">
            <v>Other</v>
          </cell>
          <cell r="E110">
            <v>-37589</v>
          </cell>
          <cell r="F110">
            <v>-43434</v>
          </cell>
          <cell r="G110">
            <v>-81557</v>
          </cell>
          <cell r="H110">
            <v>-37003</v>
          </cell>
          <cell r="I110">
            <v>-36496</v>
          </cell>
          <cell r="J110">
            <v>-108633</v>
          </cell>
          <cell r="K110">
            <v>-140087</v>
          </cell>
          <cell r="L110">
            <v>-124931</v>
          </cell>
          <cell r="M110">
            <v>-151631</v>
          </cell>
          <cell r="N110">
            <v>-109135</v>
          </cell>
          <cell r="O110">
            <v>-85637</v>
          </cell>
          <cell r="P110">
            <v>-84763</v>
          </cell>
          <cell r="T110">
            <v>107</v>
          </cell>
          <cell r="U110" t="str">
            <v>Other</v>
          </cell>
          <cell r="X110">
            <v>-18509</v>
          </cell>
          <cell r="Y110">
            <v>-38746</v>
          </cell>
          <cell r="Z110">
            <v>-30006</v>
          </cell>
          <cell r="AA110">
            <v>-61947</v>
          </cell>
          <cell r="AB110">
            <v>-65961</v>
          </cell>
          <cell r="AC110">
            <v>-82761</v>
          </cell>
          <cell r="AD110">
            <v>-109407</v>
          </cell>
          <cell r="AE110">
            <v>-81798</v>
          </cell>
          <cell r="AF110">
            <v>-97963</v>
          </cell>
          <cell r="AG110">
            <v>-84238</v>
          </cell>
          <cell r="AH110">
            <v>-12415</v>
          </cell>
          <cell r="AI110">
            <v>34453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799490</v>
          </cell>
          <cell r="F111">
            <v>1686097</v>
          </cell>
          <cell r="G111">
            <v>2400007</v>
          </cell>
          <cell r="H111">
            <v>3116875</v>
          </cell>
          <cell r="I111">
            <v>3731043</v>
          </cell>
          <cell r="J111">
            <v>4235886</v>
          </cell>
          <cell r="K111">
            <v>4726804</v>
          </cell>
          <cell r="L111">
            <v>5262661</v>
          </cell>
          <cell r="M111">
            <v>5740632</v>
          </cell>
          <cell r="N111">
            <v>6312415</v>
          </cell>
          <cell r="O111">
            <v>6903906</v>
          </cell>
          <cell r="P111">
            <v>7568775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933358</v>
          </cell>
          <cell r="Y111">
            <v>1673944</v>
          </cell>
          <cell r="Z111">
            <v>2383319</v>
          </cell>
          <cell r="AA111">
            <v>3117364</v>
          </cell>
          <cell r="AB111">
            <v>3731617</v>
          </cell>
          <cell r="AC111">
            <v>4249256</v>
          </cell>
          <cell r="AD111">
            <v>4747993</v>
          </cell>
          <cell r="AE111">
            <v>5260526</v>
          </cell>
          <cell r="AF111">
            <v>5729901</v>
          </cell>
          <cell r="AG111">
            <v>6269895</v>
          </cell>
          <cell r="AH111">
            <v>6969041</v>
          </cell>
          <cell r="AI111">
            <v>7754554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</row>
        <row r="114">
          <cell r="A114">
            <v>111</v>
          </cell>
          <cell r="B114" t="str">
            <v xml:space="preserve">Customers </v>
          </cell>
          <cell r="E114">
            <v>58823</v>
          </cell>
          <cell r="F114">
            <v>58922</v>
          </cell>
          <cell r="G114">
            <v>59034</v>
          </cell>
          <cell r="H114">
            <v>59129</v>
          </cell>
          <cell r="I114">
            <v>59180</v>
          </cell>
          <cell r="J114">
            <v>59195</v>
          </cell>
          <cell r="K114">
            <v>59165</v>
          </cell>
          <cell r="L114">
            <v>59133</v>
          </cell>
          <cell r="M114">
            <v>59097</v>
          </cell>
          <cell r="N114">
            <v>59068</v>
          </cell>
          <cell r="O114">
            <v>59056</v>
          </cell>
          <cell r="P114">
            <v>59068</v>
          </cell>
          <cell r="T114">
            <v>111</v>
          </cell>
        </row>
        <row r="115">
          <cell r="A115">
            <v>112</v>
          </cell>
          <cell r="B115" t="str">
            <v>Volume (mcfs)</v>
          </cell>
          <cell r="E115">
            <v>961993.65079365089</v>
          </cell>
          <cell r="F115">
            <v>1717957.6200214238</v>
          </cell>
          <cell r="G115">
            <v>2455458.5159217063</v>
          </cell>
          <cell r="H115">
            <v>3260575.021910605</v>
          </cell>
          <cell r="I115">
            <v>3937501.1296134</v>
          </cell>
          <cell r="J115">
            <v>4519392.2679910418</v>
          </cell>
          <cell r="K115">
            <v>5068154.0948485741</v>
          </cell>
          <cell r="L115">
            <v>5606050.6767942356</v>
          </cell>
          <cell r="M115">
            <v>6181185.2760736197</v>
          </cell>
          <cell r="N115">
            <v>6801582.2760736197</v>
          </cell>
          <cell r="O115">
            <v>7504329.5250754701</v>
          </cell>
          <cell r="P115">
            <v>8352628.0643684883</v>
          </cell>
          <cell r="T115">
            <v>112</v>
          </cell>
        </row>
        <row r="116">
          <cell r="A116">
            <v>113</v>
          </cell>
          <cell r="B116" t="str">
            <v>Volume (dts)</v>
          </cell>
          <cell r="E116">
            <v>987871</v>
          </cell>
          <cell r="F116">
            <v>1764170</v>
          </cell>
          <cell r="G116">
            <v>2521510</v>
          </cell>
          <cell r="H116">
            <v>3348284</v>
          </cell>
          <cell r="I116">
            <v>4043419</v>
          </cell>
          <cell r="J116">
            <v>4640963</v>
          </cell>
          <cell r="K116">
            <v>5204487</v>
          </cell>
          <cell r="L116">
            <v>5756853</v>
          </cell>
          <cell r="M116">
            <v>6347459</v>
          </cell>
          <cell r="N116">
            <v>6984545</v>
          </cell>
          <cell r="O116">
            <v>7706196</v>
          </cell>
          <cell r="P116">
            <v>8577314</v>
          </cell>
          <cell r="T116">
            <v>113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23878</v>
          </cell>
          <cell r="F5">
            <v>23931</v>
          </cell>
          <cell r="G5">
            <v>23944</v>
          </cell>
          <cell r="H5">
            <v>24043</v>
          </cell>
          <cell r="I5">
            <v>24043</v>
          </cell>
          <cell r="J5">
            <v>24048</v>
          </cell>
          <cell r="K5">
            <v>24092</v>
          </cell>
          <cell r="L5">
            <v>24133</v>
          </cell>
          <cell r="M5">
            <v>24085</v>
          </cell>
          <cell r="N5">
            <v>24023</v>
          </cell>
          <cell r="O5">
            <v>24143</v>
          </cell>
          <cell r="P5">
            <v>24109</v>
          </cell>
          <cell r="T5">
            <v>2</v>
          </cell>
          <cell r="U5" t="str">
            <v>Residential</v>
          </cell>
          <cell r="X5">
            <v>23727</v>
          </cell>
          <cell r="Y5">
            <v>23817</v>
          </cell>
          <cell r="Z5">
            <v>23905</v>
          </cell>
          <cell r="AA5">
            <v>23875</v>
          </cell>
          <cell r="AB5">
            <v>23903</v>
          </cell>
          <cell r="AC5">
            <v>23905</v>
          </cell>
          <cell r="AD5">
            <v>23911</v>
          </cell>
          <cell r="AE5">
            <v>23876</v>
          </cell>
          <cell r="AF5">
            <v>23896</v>
          </cell>
          <cell r="AG5">
            <v>23859</v>
          </cell>
          <cell r="AH5">
            <v>23848</v>
          </cell>
          <cell r="AI5">
            <v>23862</v>
          </cell>
        </row>
        <row r="6">
          <cell r="E6">
            <v>7374</v>
          </cell>
          <cell r="F6">
            <v>7372</v>
          </cell>
          <cell r="G6">
            <v>7362</v>
          </cell>
          <cell r="H6">
            <v>7393</v>
          </cell>
          <cell r="I6">
            <v>7385</v>
          </cell>
          <cell r="J6">
            <v>7392</v>
          </cell>
          <cell r="K6">
            <v>7403</v>
          </cell>
          <cell r="L6">
            <v>7418</v>
          </cell>
          <cell r="M6">
            <v>7415</v>
          </cell>
          <cell r="N6">
            <v>7380</v>
          </cell>
          <cell r="O6">
            <v>7392</v>
          </cell>
          <cell r="P6">
            <v>7383</v>
          </cell>
          <cell r="T6">
            <v>3</v>
          </cell>
          <cell r="U6" t="str">
            <v>Commercial</v>
          </cell>
          <cell r="X6">
            <v>7415</v>
          </cell>
          <cell r="Y6">
            <v>7407</v>
          </cell>
          <cell r="Z6">
            <v>7424</v>
          </cell>
          <cell r="AA6">
            <v>7424</v>
          </cell>
          <cell r="AB6">
            <v>7408</v>
          </cell>
          <cell r="AC6">
            <v>7403</v>
          </cell>
          <cell r="AD6">
            <v>7418</v>
          </cell>
          <cell r="AE6">
            <v>7402</v>
          </cell>
          <cell r="AF6">
            <v>7413</v>
          </cell>
          <cell r="AG6">
            <v>7391</v>
          </cell>
          <cell r="AH6">
            <v>7374</v>
          </cell>
          <cell r="AI6">
            <v>7380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31254</v>
          </cell>
          <cell r="F9">
            <v>31305</v>
          </cell>
          <cell r="G9">
            <v>31308</v>
          </cell>
          <cell r="H9">
            <v>31438</v>
          </cell>
          <cell r="I9">
            <v>31430</v>
          </cell>
          <cell r="J9">
            <v>31442</v>
          </cell>
          <cell r="K9">
            <v>31497</v>
          </cell>
          <cell r="L9">
            <v>31553</v>
          </cell>
          <cell r="M9">
            <v>31502</v>
          </cell>
          <cell r="N9">
            <v>31405</v>
          </cell>
          <cell r="O9">
            <v>31537</v>
          </cell>
          <cell r="P9">
            <v>31494</v>
          </cell>
          <cell r="T9">
            <v>6</v>
          </cell>
          <cell r="U9" t="str">
            <v>Total customers</v>
          </cell>
          <cell r="X9">
            <v>31144</v>
          </cell>
          <cell r="Y9">
            <v>31226</v>
          </cell>
          <cell r="Z9">
            <v>31331</v>
          </cell>
          <cell r="AA9">
            <v>31301</v>
          </cell>
          <cell r="AB9">
            <v>31313</v>
          </cell>
          <cell r="AC9">
            <v>31310</v>
          </cell>
          <cell r="AD9">
            <v>31331</v>
          </cell>
          <cell r="AE9">
            <v>31280</v>
          </cell>
          <cell r="AF9">
            <v>31311</v>
          </cell>
          <cell r="AG9">
            <v>31252</v>
          </cell>
          <cell r="AH9">
            <v>31224</v>
          </cell>
          <cell r="AI9">
            <v>31244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- 2014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27407.153999999999</v>
          </cell>
          <cell r="F12">
            <v>28408</v>
          </cell>
          <cell r="G12">
            <v>25037</v>
          </cell>
          <cell r="H12">
            <v>19382</v>
          </cell>
          <cell r="I12">
            <v>20243</v>
          </cell>
          <cell r="J12">
            <v>27010.544000000002</v>
          </cell>
          <cell r="K12">
            <v>34072.023999999998</v>
          </cell>
          <cell r="L12">
            <v>33401.144999999997</v>
          </cell>
          <cell r="M12">
            <v>29383.559000000001</v>
          </cell>
          <cell r="N12">
            <v>20672.712</v>
          </cell>
          <cell r="O12">
            <v>19001</v>
          </cell>
          <cell r="P12">
            <v>19624</v>
          </cell>
          <cell r="T12">
            <v>9</v>
          </cell>
          <cell r="U12" t="str">
            <v>Residential</v>
          </cell>
          <cell r="X12">
            <v>30645</v>
          </cell>
          <cell r="Y12">
            <v>31219</v>
          </cell>
          <cell r="Z12">
            <v>22626</v>
          </cell>
          <cell r="AA12">
            <v>18590</v>
          </cell>
          <cell r="AB12">
            <v>20085.392</v>
          </cell>
          <cell r="AC12">
            <v>26424.817999999999</v>
          </cell>
          <cell r="AD12">
            <v>32928.561999999998</v>
          </cell>
          <cell r="AE12">
            <v>30949.967000000001</v>
          </cell>
          <cell r="AF12">
            <v>31162.179</v>
          </cell>
          <cell r="AG12">
            <v>21607.998</v>
          </cell>
          <cell r="AH12">
            <v>19068.564999999999</v>
          </cell>
          <cell r="AI12">
            <v>24910.794999999998</v>
          </cell>
        </row>
        <row r="13">
          <cell r="E13">
            <v>24384</v>
          </cell>
          <cell r="F13">
            <v>23339</v>
          </cell>
          <cell r="G13">
            <v>23001</v>
          </cell>
          <cell r="H13">
            <v>21861</v>
          </cell>
          <cell r="I13">
            <v>24699</v>
          </cell>
          <cell r="J13">
            <v>27289.392</v>
          </cell>
          <cell r="K13">
            <v>32047.789000000001</v>
          </cell>
          <cell r="L13">
            <v>32437.244999999999</v>
          </cell>
          <cell r="M13">
            <v>30574.400000000001</v>
          </cell>
          <cell r="N13">
            <v>25916.855</v>
          </cell>
          <cell r="O13">
            <v>24549</v>
          </cell>
          <cell r="P13">
            <v>23658</v>
          </cell>
          <cell r="T13">
            <v>10</v>
          </cell>
          <cell r="U13" t="str">
            <v>Commercial</v>
          </cell>
          <cell r="X13">
            <v>25132</v>
          </cell>
          <cell r="Y13">
            <v>24318</v>
          </cell>
          <cell r="Z13">
            <v>22354</v>
          </cell>
          <cell r="AA13">
            <v>21750</v>
          </cell>
          <cell r="AB13">
            <v>24916.542000000001</v>
          </cell>
          <cell r="AC13">
            <v>27951.972000000002</v>
          </cell>
          <cell r="AD13">
            <v>31626.92</v>
          </cell>
          <cell r="AE13">
            <v>29817.628000000001</v>
          </cell>
          <cell r="AF13">
            <v>31010.788</v>
          </cell>
          <cell r="AG13">
            <v>26437.859</v>
          </cell>
          <cell r="AH13">
            <v>23776.083999999999</v>
          </cell>
          <cell r="AI13">
            <v>23465.699000000001</v>
          </cell>
        </row>
        <row r="14">
          <cell r="E14">
            <v>2200</v>
          </cell>
          <cell r="F14">
            <v>3290</v>
          </cell>
          <cell r="G14">
            <v>2020</v>
          </cell>
          <cell r="H14">
            <v>740</v>
          </cell>
          <cell r="I14">
            <v>290</v>
          </cell>
          <cell r="J14">
            <v>1110</v>
          </cell>
          <cell r="K14">
            <v>1350</v>
          </cell>
          <cell r="L14">
            <v>1920</v>
          </cell>
          <cell r="M14">
            <v>1300</v>
          </cell>
          <cell r="N14">
            <v>410</v>
          </cell>
          <cell r="O14">
            <v>1200</v>
          </cell>
          <cell r="P14">
            <v>3050</v>
          </cell>
          <cell r="T14">
            <v>11</v>
          </cell>
          <cell r="U14" t="str">
            <v xml:space="preserve">Industrial </v>
          </cell>
          <cell r="X14">
            <v>1470</v>
          </cell>
          <cell r="Y14">
            <v>3680</v>
          </cell>
          <cell r="Z14">
            <v>4480</v>
          </cell>
          <cell r="AA14">
            <v>1660</v>
          </cell>
          <cell r="AB14">
            <v>4170</v>
          </cell>
          <cell r="AC14">
            <v>1410</v>
          </cell>
          <cell r="AD14">
            <v>5060</v>
          </cell>
          <cell r="AE14">
            <v>900</v>
          </cell>
          <cell r="AF14">
            <v>1130</v>
          </cell>
          <cell r="AG14">
            <v>1440</v>
          </cell>
          <cell r="AH14">
            <v>2520</v>
          </cell>
          <cell r="AI14">
            <v>1170</v>
          </cell>
        </row>
        <row r="15">
          <cell r="E15">
            <v>-1629.32</v>
          </cell>
          <cell r="F15">
            <v>-928.99218000000008</v>
          </cell>
          <cell r="G15">
            <v>-2221.3755699999997</v>
          </cell>
          <cell r="H15">
            <v>-2425.6199799999999</v>
          </cell>
          <cell r="I15">
            <v>6276.6736200000005</v>
          </cell>
          <cell r="J15">
            <v>6276.6736200000005</v>
          </cell>
          <cell r="K15">
            <v>2351.9720000000002</v>
          </cell>
          <cell r="L15">
            <v>869.64599999999996</v>
          </cell>
          <cell r="M15">
            <v>-4495.3509999999997</v>
          </cell>
          <cell r="N15">
            <v>-1903.722</v>
          </cell>
          <cell r="O15">
            <v>-2530</v>
          </cell>
          <cell r="P15">
            <v>-1381</v>
          </cell>
          <cell r="T15">
            <v>12</v>
          </cell>
          <cell r="U15" t="str">
            <v>Other</v>
          </cell>
          <cell r="X15">
            <v>0</v>
          </cell>
          <cell r="Y15">
            <v>-10235</v>
          </cell>
          <cell r="Z15">
            <v>-2132</v>
          </cell>
          <cell r="AA15">
            <v>-2239</v>
          </cell>
          <cell r="AB15">
            <v>3306.7919999999999</v>
          </cell>
          <cell r="AC15">
            <v>5283.6229999999996</v>
          </cell>
          <cell r="AD15">
            <v>738.75599999999997</v>
          </cell>
          <cell r="AE15">
            <v>4481.0219999999999</v>
          </cell>
          <cell r="AF15">
            <v>-3512.9340000000002</v>
          </cell>
          <cell r="AG15">
            <v>-2157.9872</v>
          </cell>
          <cell r="AH15">
            <v>-2852.4079999999999</v>
          </cell>
          <cell r="AI15">
            <v>786.43399999999997</v>
          </cell>
        </row>
        <row r="16">
          <cell r="E16">
            <v>52361.833999999995</v>
          </cell>
          <cell r="F16">
            <v>54108.007819999999</v>
          </cell>
          <cell r="G16">
            <v>47836.624430000003</v>
          </cell>
          <cell r="H16">
            <v>39557.380019999997</v>
          </cell>
          <cell r="I16">
            <v>51508.673620000001</v>
          </cell>
          <cell r="J16">
            <v>61686.609620000003</v>
          </cell>
          <cell r="K16">
            <v>69821.784999999989</v>
          </cell>
          <cell r="L16">
            <v>68628.035999999993</v>
          </cell>
          <cell r="M16">
            <v>56762.608</v>
          </cell>
          <cell r="N16">
            <v>45095.844999999994</v>
          </cell>
          <cell r="O16">
            <v>42220</v>
          </cell>
          <cell r="P16">
            <v>44951</v>
          </cell>
          <cell r="T16">
            <v>13</v>
          </cell>
          <cell r="U16" t="str">
            <v>Total Deliveries</v>
          </cell>
          <cell r="X16">
            <v>57247</v>
          </cell>
          <cell r="Y16">
            <v>48982</v>
          </cell>
          <cell r="Z16">
            <v>47328</v>
          </cell>
          <cell r="AA16">
            <v>39761</v>
          </cell>
          <cell r="AB16">
            <v>52478.726000000002</v>
          </cell>
          <cell r="AC16">
            <v>61070.413</v>
          </cell>
          <cell r="AD16">
            <v>70354.237999999983</v>
          </cell>
          <cell r="AE16">
            <v>66148.616999999998</v>
          </cell>
          <cell r="AF16">
            <v>59790.033000000003</v>
          </cell>
          <cell r="AG16">
            <v>47327.8698</v>
          </cell>
          <cell r="AH16">
            <v>42512.240999999995</v>
          </cell>
          <cell r="AI16">
            <v>50332.928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</row>
        <row r="20">
          <cell r="E20">
            <v>32386.91372285835</v>
          </cell>
          <cell r="F20">
            <v>32399</v>
          </cell>
          <cell r="G20">
            <v>32410.148579547058</v>
          </cell>
          <cell r="H20">
            <v>32420.738072159067</v>
          </cell>
          <cell r="I20">
            <v>32431.348976645448</v>
          </cell>
          <cell r="J20">
            <v>32438.856600933621</v>
          </cell>
          <cell r="K20">
            <v>32451.519905731315</v>
          </cell>
          <cell r="L20">
            <v>32464.186301109436</v>
          </cell>
          <cell r="M20">
            <v>32474.791087388989</v>
          </cell>
          <cell r="N20">
            <v>32484.394288821597</v>
          </cell>
          <cell r="O20">
            <v>32498.074893412944</v>
          </cell>
          <cell r="P20">
            <v>32509.730822307698</v>
          </cell>
          <cell r="T20">
            <v>17</v>
          </cell>
        </row>
        <row r="21">
          <cell r="E21">
            <v>56775</v>
          </cell>
          <cell r="F21">
            <v>50887</v>
          </cell>
          <cell r="G21">
            <v>47619</v>
          </cell>
          <cell r="H21">
            <v>44264</v>
          </cell>
          <cell r="I21">
            <v>47114</v>
          </cell>
          <cell r="J21">
            <v>57353.449110000001</v>
          </cell>
          <cell r="K21">
            <v>67743.95327482195</v>
          </cell>
          <cell r="L21">
            <v>66804.416955347697</v>
          </cell>
          <cell r="M21">
            <v>65689.565274162058</v>
          </cell>
          <cell r="N21">
            <v>56282.899934287401</v>
          </cell>
          <cell r="O21">
            <v>45161.5405680236</v>
          </cell>
          <cell r="P21">
            <v>49436.98926572717</v>
          </cell>
          <cell r="T21">
            <v>18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23878</v>
          </cell>
          <cell r="F27">
            <v>23905</v>
          </cell>
          <cell r="G27">
            <v>23918</v>
          </cell>
          <cell r="H27">
            <v>23949</v>
          </cell>
          <cell r="I27">
            <v>23968</v>
          </cell>
          <cell r="J27">
            <v>23981</v>
          </cell>
          <cell r="K27">
            <v>23997</v>
          </cell>
          <cell r="L27">
            <v>24014</v>
          </cell>
          <cell r="M27">
            <v>24022</v>
          </cell>
          <cell r="N27">
            <v>24022</v>
          </cell>
          <cell r="O27">
            <v>24033</v>
          </cell>
          <cell r="P27">
            <v>24039</v>
          </cell>
          <cell r="T27">
            <v>24</v>
          </cell>
          <cell r="U27" t="str">
            <v>Residential</v>
          </cell>
          <cell r="X27">
            <v>23727</v>
          </cell>
          <cell r="Y27">
            <v>23772</v>
          </cell>
          <cell r="Z27">
            <v>23816</v>
          </cell>
          <cell r="AA27">
            <v>23831</v>
          </cell>
          <cell r="AB27">
            <v>23845</v>
          </cell>
          <cell r="AC27">
            <v>23855</v>
          </cell>
          <cell r="AD27">
            <v>23863</v>
          </cell>
          <cell r="AE27">
            <v>23865</v>
          </cell>
          <cell r="AF27">
            <v>23868</v>
          </cell>
          <cell r="AG27">
            <v>23867</v>
          </cell>
          <cell r="AH27">
            <v>23866</v>
          </cell>
          <cell r="AI27">
            <v>23865</v>
          </cell>
        </row>
        <row r="28">
          <cell r="E28">
            <v>7374</v>
          </cell>
          <cell r="F28">
            <v>7373</v>
          </cell>
          <cell r="G28">
            <v>7369</v>
          </cell>
          <cell r="H28">
            <v>7375</v>
          </cell>
          <cell r="I28">
            <v>7377</v>
          </cell>
          <cell r="J28">
            <v>7380</v>
          </cell>
          <cell r="K28">
            <v>7383</v>
          </cell>
          <cell r="L28">
            <v>7387</v>
          </cell>
          <cell r="M28">
            <v>7390</v>
          </cell>
          <cell r="N28">
            <v>7389</v>
          </cell>
          <cell r="O28">
            <v>7390</v>
          </cell>
          <cell r="P28">
            <v>7389</v>
          </cell>
          <cell r="T28">
            <v>25</v>
          </cell>
          <cell r="U28" t="str">
            <v>Commercial</v>
          </cell>
          <cell r="X28">
            <v>7415</v>
          </cell>
          <cell r="Y28">
            <v>7411</v>
          </cell>
          <cell r="Z28">
            <v>7415</v>
          </cell>
          <cell r="AA28">
            <v>7418</v>
          </cell>
          <cell r="AB28">
            <v>7416</v>
          </cell>
          <cell r="AC28">
            <v>7414</v>
          </cell>
          <cell r="AD28">
            <v>7414</v>
          </cell>
          <cell r="AE28">
            <v>7413</v>
          </cell>
          <cell r="AF28">
            <v>7413</v>
          </cell>
          <cell r="AG28">
            <v>7411</v>
          </cell>
          <cell r="AH28">
            <v>7407</v>
          </cell>
          <cell r="AI28">
            <v>7405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T30">
            <v>27</v>
          </cell>
          <cell r="U30" t="str">
            <v>Other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E31">
            <v>31254</v>
          </cell>
          <cell r="F31">
            <v>31280</v>
          </cell>
          <cell r="G31">
            <v>31289</v>
          </cell>
          <cell r="H31">
            <v>31326</v>
          </cell>
          <cell r="I31">
            <v>31347</v>
          </cell>
          <cell r="J31">
            <v>31363</v>
          </cell>
          <cell r="K31">
            <v>31382</v>
          </cell>
          <cell r="L31">
            <v>31403</v>
          </cell>
          <cell r="M31">
            <v>31414</v>
          </cell>
          <cell r="N31">
            <v>31413</v>
          </cell>
          <cell r="O31">
            <v>31425</v>
          </cell>
          <cell r="P31">
            <v>31430</v>
          </cell>
          <cell r="T31">
            <v>28</v>
          </cell>
          <cell r="U31" t="str">
            <v>Total customers</v>
          </cell>
          <cell r="X31">
            <v>31144</v>
          </cell>
          <cell r="Y31">
            <v>31185</v>
          </cell>
          <cell r="Z31">
            <v>31233</v>
          </cell>
          <cell r="AA31">
            <v>31251</v>
          </cell>
          <cell r="AB31">
            <v>31263</v>
          </cell>
          <cell r="AC31">
            <v>31271</v>
          </cell>
          <cell r="AD31">
            <v>31279</v>
          </cell>
          <cell r="AE31">
            <v>31280</v>
          </cell>
          <cell r="AF31">
            <v>31283</v>
          </cell>
          <cell r="AG31">
            <v>31280</v>
          </cell>
          <cell r="AH31">
            <v>31275</v>
          </cell>
          <cell r="AI31">
            <v>31272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27407.153999999999</v>
          </cell>
          <cell r="F35">
            <v>55815.153999999995</v>
          </cell>
          <cell r="G35">
            <v>80852.153999999995</v>
          </cell>
          <cell r="H35">
            <v>100234.15399999999</v>
          </cell>
          <cell r="I35">
            <v>120477.15399999999</v>
          </cell>
          <cell r="J35">
            <v>147487.698</v>
          </cell>
          <cell r="K35">
            <v>181559.72200000001</v>
          </cell>
          <cell r="L35">
            <v>214960.867</v>
          </cell>
          <cell r="M35">
            <v>244344.42600000001</v>
          </cell>
          <cell r="N35">
            <v>265017.13800000004</v>
          </cell>
          <cell r="O35">
            <v>284018.13800000004</v>
          </cell>
          <cell r="P35">
            <v>303642.13800000004</v>
          </cell>
          <cell r="T35">
            <v>32</v>
          </cell>
          <cell r="U35" t="str">
            <v>Residential</v>
          </cell>
          <cell r="X35">
            <v>30645</v>
          </cell>
          <cell r="Y35">
            <v>61864</v>
          </cell>
          <cell r="Z35">
            <v>84490</v>
          </cell>
          <cell r="AA35">
            <v>103080</v>
          </cell>
          <cell r="AB35">
            <v>123165.39199999999</v>
          </cell>
          <cell r="AC35">
            <v>149590.21</v>
          </cell>
          <cell r="AD35">
            <v>182518.772</v>
          </cell>
          <cell r="AE35">
            <v>213468.739</v>
          </cell>
          <cell r="AF35">
            <v>244630.91800000001</v>
          </cell>
          <cell r="AG35">
            <v>266238.91600000003</v>
          </cell>
          <cell r="AH35">
            <v>285307.48100000003</v>
          </cell>
          <cell r="AI35">
            <v>310218.27600000001</v>
          </cell>
        </row>
        <row r="36">
          <cell r="E36">
            <v>24384</v>
          </cell>
          <cell r="F36">
            <v>47723</v>
          </cell>
          <cell r="G36">
            <v>70724</v>
          </cell>
          <cell r="H36">
            <v>92585</v>
          </cell>
          <cell r="I36">
            <v>117284</v>
          </cell>
          <cell r="J36">
            <v>144573.39199999999</v>
          </cell>
          <cell r="K36">
            <v>176621.18099999998</v>
          </cell>
          <cell r="L36">
            <v>209058.42599999998</v>
          </cell>
          <cell r="M36">
            <v>239632.82599999997</v>
          </cell>
          <cell r="N36">
            <v>265549.68099999998</v>
          </cell>
          <cell r="O36">
            <v>290098.68099999998</v>
          </cell>
          <cell r="P36">
            <v>313756.68099999998</v>
          </cell>
          <cell r="T36">
            <v>33</v>
          </cell>
          <cell r="U36" t="str">
            <v>Commercial</v>
          </cell>
          <cell r="X36">
            <v>25132</v>
          </cell>
          <cell r="Y36">
            <v>49450</v>
          </cell>
          <cell r="Z36">
            <v>71804</v>
          </cell>
          <cell r="AA36">
            <v>93554</v>
          </cell>
          <cell r="AB36">
            <v>118470.542</v>
          </cell>
          <cell r="AC36">
            <v>146422.514</v>
          </cell>
          <cell r="AD36">
            <v>178049.43400000001</v>
          </cell>
          <cell r="AE36">
            <v>207867.06200000001</v>
          </cell>
          <cell r="AF36">
            <v>238877.85</v>
          </cell>
          <cell r="AG36">
            <v>265315.70900000003</v>
          </cell>
          <cell r="AH36">
            <v>289091.79300000001</v>
          </cell>
          <cell r="AI36">
            <v>312557.49200000003</v>
          </cell>
        </row>
        <row r="37">
          <cell r="E37">
            <v>2200</v>
          </cell>
          <cell r="F37">
            <v>5490</v>
          </cell>
          <cell r="G37">
            <v>7510</v>
          </cell>
          <cell r="H37">
            <v>8250</v>
          </cell>
          <cell r="I37">
            <v>8540</v>
          </cell>
          <cell r="J37">
            <v>9650</v>
          </cell>
          <cell r="K37">
            <v>11000</v>
          </cell>
          <cell r="L37">
            <v>12920</v>
          </cell>
          <cell r="M37">
            <v>14220</v>
          </cell>
          <cell r="N37">
            <v>14630</v>
          </cell>
          <cell r="O37">
            <v>15830</v>
          </cell>
          <cell r="P37">
            <v>18880</v>
          </cell>
          <cell r="T37">
            <v>34</v>
          </cell>
          <cell r="U37" t="str">
            <v xml:space="preserve">Industrial </v>
          </cell>
          <cell r="X37">
            <v>1470</v>
          </cell>
          <cell r="Y37">
            <v>5150</v>
          </cell>
          <cell r="Z37">
            <v>9630</v>
          </cell>
          <cell r="AA37">
            <v>11290</v>
          </cell>
          <cell r="AB37">
            <v>15460</v>
          </cell>
          <cell r="AC37">
            <v>16870</v>
          </cell>
          <cell r="AD37">
            <v>21930</v>
          </cell>
          <cell r="AE37">
            <v>22830</v>
          </cell>
          <cell r="AF37">
            <v>23960</v>
          </cell>
          <cell r="AG37">
            <v>25400</v>
          </cell>
          <cell r="AH37">
            <v>27920</v>
          </cell>
          <cell r="AI37">
            <v>29090</v>
          </cell>
        </row>
        <row r="38">
          <cell r="E38">
            <v>-1629.32</v>
          </cell>
          <cell r="F38">
            <v>-2558.3121799999999</v>
          </cell>
          <cell r="G38">
            <v>-4779.6877499999991</v>
          </cell>
          <cell r="H38">
            <v>-7205.3077299999986</v>
          </cell>
          <cell r="I38">
            <v>-928.63410999999815</v>
          </cell>
          <cell r="J38">
            <v>5348.0395100000023</v>
          </cell>
          <cell r="K38">
            <v>7700.0115100000021</v>
          </cell>
          <cell r="L38">
            <v>8569.6575100000027</v>
          </cell>
          <cell r="M38">
            <v>4074.3065100000031</v>
          </cell>
          <cell r="N38">
            <v>2170.5845100000033</v>
          </cell>
          <cell r="O38">
            <v>-359.41548999999668</v>
          </cell>
          <cell r="P38">
            <v>-1740.4154899999967</v>
          </cell>
          <cell r="T38">
            <v>35</v>
          </cell>
          <cell r="U38" t="str">
            <v>Other</v>
          </cell>
          <cell r="X38">
            <v>0</v>
          </cell>
          <cell r="Y38">
            <v>-10235</v>
          </cell>
          <cell r="Z38">
            <v>-12367</v>
          </cell>
          <cell r="AA38">
            <v>-14606</v>
          </cell>
          <cell r="AB38">
            <v>-11299.208000000001</v>
          </cell>
          <cell r="AC38">
            <v>-6015.5850000000009</v>
          </cell>
          <cell r="AD38">
            <v>-5276.8290000000006</v>
          </cell>
          <cell r="AE38">
            <v>-795.8070000000007</v>
          </cell>
          <cell r="AF38">
            <v>-4308.7410000000009</v>
          </cell>
          <cell r="AG38">
            <v>-6466.7282000000014</v>
          </cell>
          <cell r="AH38">
            <v>-9319.1362000000008</v>
          </cell>
          <cell r="AI38">
            <v>-8532.7022000000015</v>
          </cell>
        </row>
        <row r="39">
          <cell r="E39">
            <v>52361.833999999995</v>
          </cell>
          <cell r="F39">
            <v>106469.84182</v>
          </cell>
          <cell r="G39">
            <v>154306.46624999997</v>
          </cell>
          <cell r="H39">
            <v>193863.84626999998</v>
          </cell>
          <cell r="I39">
            <v>245372.51989</v>
          </cell>
          <cell r="J39">
            <v>307059.12951</v>
          </cell>
          <cell r="K39">
            <v>376880.91450999997</v>
          </cell>
          <cell r="L39">
            <v>445508.95050999994</v>
          </cell>
          <cell r="M39">
            <v>502271.55851</v>
          </cell>
          <cell r="N39">
            <v>547367.40350999997</v>
          </cell>
          <cell r="O39">
            <v>589587.40350999997</v>
          </cell>
          <cell r="P39">
            <v>634538.40350999997</v>
          </cell>
          <cell r="T39">
            <v>36</v>
          </cell>
          <cell r="U39" t="str">
            <v>Total Deliveries</v>
          </cell>
          <cell r="X39">
            <v>57247</v>
          </cell>
          <cell r="Y39">
            <v>106229</v>
          </cell>
          <cell r="Z39">
            <v>153557</v>
          </cell>
          <cell r="AA39">
            <v>193318</v>
          </cell>
          <cell r="AB39">
            <v>245796.726</v>
          </cell>
          <cell r="AC39">
            <v>306867.13899999997</v>
          </cell>
          <cell r="AD39">
            <v>377221.37699999998</v>
          </cell>
          <cell r="AE39">
            <v>443369.99399999995</v>
          </cell>
          <cell r="AF39">
            <v>503160.02700000006</v>
          </cell>
          <cell r="AG39">
            <v>550487.89679999999</v>
          </cell>
          <cell r="AH39">
            <v>593000.13780000003</v>
          </cell>
          <cell r="AI39">
            <v>643333.06579999998</v>
          </cell>
        </row>
        <row r="40">
          <cell r="T40">
            <v>37</v>
          </cell>
        </row>
        <row r="41"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E42">
            <v>32386.91372285835</v>
          </cell>
          <cell r="F42">
            <v>32393</v>
          </cell>
          <cell r="G42">
            <v>32399</v>
          </cell>
          <cell r="H42">
            <v>32404</v>
          </cell>
          <cell r="I42">
            <v>32410</v>
          </cell>
          <cell r="J42">
            <v>32415</v>
          </cell>
          <cell r="K42">
            <v>32420</v>
          </cell>
          <cell r="L42">
            <v>32425</v>
          </cell>
          <cell r="M42">
            <v>32431</v>
          </cell>
          <cell r="N42">
            <v>32436</v>
          </cell>
          <cell r="O42">
            <v>32442</v>
          </cell>
          <cell r="P42">
            <v>32447</v>
          </cell>
          <cell r="T42">
            <v>39</v>
          </cell>
        </row>
        <row r="43">
          <cell r="E43">
            <v>56775</v>
          </cell>
          <cell r="F43">
            <v>107662</v>
          </cell>
          <cell r="G43">
            <v>155281</v>
          </cell>
          <cell r="H43">
            <v>199545</v>
          </cell>
          <cell r="I43">
            <v>246659</v>
          </cell>
          <cell r="J43">
            <v>304012.44910999999</v>
          </cell>
          <cell r="K43">
            <v>371756.40238482191</v>
          </cell>
          <cell r="L43">
            <v>438560.8193401696</v>
          </cell>
          <cell r="M43">
            <v>504250.38461433165</v>
          </cell>
          <cell r="N43">
            <v>560533.28454861906</v>
          </cell>
          <cell r="O43">
            <v>605694.82511664263</v>
          </cell>
          <cell r="P43">
            <v>655131.81438236986</v>
          </cell>
          <cell r="T43">
            <v>40</v>
          </cell>
        </row>
        <row r="45">
          <cell r="G45" t="str">
            <v>Q1 2015</v>
          </cell>
          <cell r="J45" t="str">
            <v>Q2 2015</v>
          </cell>
          <cell r="M45" t="str">
            <v>Q3 2015</v>
          </cell>
          <cell r="P45" t="str">
            <v>Q4 2015</v>
          </cell>
        </row>
        <row r="46">
          <cell r="G46">
            <v>23918</v>
          </cell>
          <cell r="J46">
            <v>24045</v>
          </cell>
          <cell r="M46">
            <v>24103</v>
          </cell>
          <cell r="P46">
            <v>24092</v>
          </cell>
        </row>
        <row r="47">
          <cell r="G47">
            <v>7369</v>
          </cell>
          <cell r="J47">
            <v>7390</v>
          </cell>
          <cell r="M47">
            <v>7412</v>
          </cell>
          <cell r="P47">
            <v>7385</v>
          </cell>
        </row>
        <row r="48">
          <cell r="G48">
            <v>2</v>
          </cell>
          <cell r="J48">
            <v>2</v>
          </cell>
          <cell r="M48">
            <v>2</v>
          </cell>
          <cell r="P48">
            <v>2</v>
          </cell>
        </row>
        <row r="49">
          <cell r="G49">
            <v>0</v>
          </cell>
          <cell r="J49">
            <v>0</v>
          </cell>
          <cell r="M49">
            <v>0</v>
          </cell>
          <cell r="P49">
            <v>0</v>
          </cell>
        </row>
        <row r="50">
          <cell r="G50">
            <v>31289</v>
          </cell>
          <cell r="J50">
            <v>31437</v>
          </cell>
          <cell r="M50">
            <v>31517</v>
          </cell>
          <cell r="P50">
            <v>31479</v>
          </cell>
        </row>
        <row r="53">
          <cell r="G53">
            <v>80852</v>
          </cell>
          <cell r="J53">
            <v>66636</v>
          </cell>
          <cell r="M53">
            <v>96857</v>
          </cell>
          <cell r="P53">
            <v>59298</v>
          </cell>
        </row>
        <row r="54">
          <cell r="G54">
            <v>70724</v>
          </cell>
          <cell r="J54">
            <v>73849</v>
          </cell>
          <cell r="M54">
            <v>95059</v>
          </cell>
          <cell r="P54">
            <v>74124</v>
          </cell>
        </row>
        <row r="55">
          <cell r="G55">
            <v>7510</v>
          </cell>
          <cell r="J55">
            <v>2140</v>
          </cell>
          <cell r="M55">
            <v>4570</v>
          </cell>
          <cell r="P55">
            <v>4660</v>
          </cell>
        </row>
        <row r="56">
          <cell r="G56">
            <v>-4780</v>
          </cell>
          <cell r="J56">
            <v>10128</v>
          </cell>
          <cell r="M56">
            <v>-1274</v>
          </cell>
          <cell r="P56">
            <v>-5815</v>
          </cell>
        </row>
        <row r="57">
          <cell r="G57">
            <v>154306</v>
          </cell>
          <cell r="J57">
            <v>152753</v>
          </cell>
          <cell r="M57">
            <v>195212</v>
          </cell>
          <cell r="P57">
            <v>132267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19</v>
          </cell>
          <cell r="D7">
            <v>228</v>
          </cell>
          <cell r="E7">
            <v>19</v>
          </cell>
          <cell r="F7">
            <v>19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20</v>
          </cell>
          <cell r="L7">
            <v>19</v>
          </cell>
          <cell r="M7">
            <v>21</v>
          </cell>
          <cell r="N7">
            <v>18</v>
          </cell>
          <cell r="O7">
            <v>19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19</v>
          </cell>
          <cell r="W7">
            <v>222</v>
          </cell>
          <cell r="X7">
            <v>20</v>
          </cell>
          <cell r="Y7">
            <v>19</v>
          </cell>
          <cell r="Z7">
            <v>19</v>
          </cell>
          <cell r="AA7">
            <v>18</v>
          </cell>
          <cell r="AB7">
            <v>18</v>
          </cell>
          <cell r="AC7">
            <v>18</v>
          </cell>
          <cell r="AD7">
            <v>19</v>
          </cell>
          <cell r="AE7">
            <v>17</v>
          </cell>
          <cell r="AF7">
            <v>18</v>
          </cell>
          <cell r="AG7">
            <v>18</v>
          </cell>
          <cell r="AH7">
            <v>19</v>
          </cell>
          <cell r="AI7">
            <v>19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16</v>
          </cell>
          <cell r="D9">
            <v>192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16</v>
          </cell>
          <cell r="J9">
            <v>15</v>
          </cell>
          <cell r="K9">
            <v>17</v>
          </cell>
          <cell r="L9">
            <v>16</v>
          </cell>
          <cell r="M9">
            <v>18</v>
          </cell>
          <cell r="N9">
            <v>15</v>
          </cell>
          <cell r="O9">
            <v>16</v>
          </cell>
          <cell r="P9">
            <v>14</v>
          </cell>
          <cell r="T9">
            <v>6</v>
          </cell>
          <cell r="U9" t="str">
            <v>Total customers</v>
          </cell>
          <cell r="V9">
            <v>16</v>
          </cell>
          <cell r="W9">
            <v>186</v>
          </cell>
          <cell r="X9">
            <v>17</v>
          </cell>
          <cell r="Y9">
            <v>16</v>
          </cell>
          <cell r="Z9">
            <v>16</v>
          </cell>
          <cell r="AA9">
            <v>15</v>
          </cell>
          <cell r="AB9">
            <v>15</v>
          </cell>
          <cell r="AC9">
            <v>15</v>
          </cell>
          <cell r="AD9">
            <v>16</v>
          </cell>
          <cell r="AE9">
            <v>14</v>
          </cell>
          <cell r="AF9">
            <v>15</v>
          </cell>
          <cell r="AG9">
            <v>15</v>
          </cell>
          <cell r="AH9">
            <v>16</v>
          </cell>
          <cell r="AI9">
            <v>16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(2015)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- 2014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41893289</v>
          </cell>
          <cell r="E14">
            <v>4841809</v>
          </cell>
          <cell r="F14">
            <v>4623188</v>
          </cell>
          <cell r="G14">
            <v>4494023</v>
          </cell>
          <cell r="H14">
            <v>3383917</v>
          </cell>
          <cell r="I14">
            <v>3001043</v>
          </cell>
          <cell r="J14">
            <v>2879224</v>
          </cell>
          <cell r="K14">
            <v>2907950</v>
          </cell>
          <cell r="L14">
            <v>2868179</v>
          </cell>
          <cell r="M14">
            <v>2707737</v>
          </cell>
          <cell r="N14">
            <v>2783613</v>
          </cell>
          <cell r="O14">
            <v>3323172</v>
          </cell>
          <cell r="P14">
            <v>4079434</v>
          </cell>
          <cell r="T14">
            <v>11</v>
          </cell>
          <cell r="U14" t="str">
            <v>Transportation firm</v>
          </cell>
          <cell r="X14">
            <v>4141852</v>
          </cell>
          <cell r="Y14">
            <v>4249798</v>
          </cell>
          <cell r="Z14">
            <v>4259011</v>
          </cell>
          <cell r="AA14">
            <v>2807731</v>
          </cell>
          <cell r="AB14">
            <v>2673901</v>
          </cell>
          <cell r="AC14">
            <v>2235936</v>
          </cell>
          <cell r="AD14">
            <v>2511548</v>
          </cell>
          <cell r="AE14">
            <v>2632555</v>
          </cell>
          <cell r="AF14">
            <v>2749622</v>
          </cell>
          <cell r="AG14">
            <v>2881069</v>
          </cell>
          <cell r="AH14">
            <v>3517231</v>
          </cell>
          <cell r="AI14">
            <v>4015275</v>
          </cell>
        </row>
        <row r="15">
          <cell r="A15">
            <v>12</v>
          </cell>
          <cell r="B15" t="str">
            <v>Interruptible transportation</v>
          </cell>
          <cell r="D15">
            <v>5118002</v>
          </cell>
          <cell r="E15">
            <v>151493</v>
          </cell>
          <cell r="F15">
            <v>53434</v>
          </cell>
          <cell r="G15">
            <v>172435</v>
          </cell>
          <cell r="H15">
            <v>257018</v>
          </cell>
          <cell r="I15">
            <v>381436</v>
          </cell>
          <cell r="J15">
            <v>560911</v>
          </cell>
          <cell r="K15">
            <v>851712</v>
          </cell>
          <cell r="L15">
            <v>709718</v>
          </cell>
          <cell r="M15">
            <v>794572</v>
          </cell>
          <cell r="N15">
            <v>591661</v>
          </cell>
          <cell r="O15">
            <v>219151</v>
          </cell>
          <cell r="P15">
            <v>374461</v>
          </cell>
          <cell r="T15">
            <v>12</v>
          </cell>
          <cell r="U15" t="str">
            <v>Interruptible transporation</v>
          </cell>
          <cell r="X15">
            <v>174991</v>
          </cell>
          <cell r="Y15">
            <v>98755</v>
          </cell>
          <cell r="Z15">
            <v>164102</v>
          </cell>
          <cell r="AA15">
            <v>50935</v>
          </cell>
          <cell r="AB15">
            <v>74103</v>
          </cell>
          <cell r="AC15">
            <v>126531</v>
          </cell>
          <cell r="AD15">
            <v>198504</v>
          </cell>
          <cell r="AE15">
            <v>111294</v>
          </cell>
          <cell r="AF15">
            <v>129103</v>
          </cell>
          <cell r="AG15">
            <v>118607</v>
          </cell>
          <cell r="AH15">
            <v>224633</v>
          </cell>
          <cell r="AI15">
            <v>128383</v>
          </cell>
        </row>
        <row r="16">
          <cell r="A16">
            <v>13</v>
          </cell>
          <cell r="B16" t="str">
            <v>Less: ESNG to DE, MD &amp; SP</v>
          </cell>
          <cell r="D16">
            <v>-10947113</v>
          </cell>
          <cell r="E16">
            <v>-1771653</v>
          </cell>
          <cell r="F16">
            <v>-1824282</v>
          </cell>
          <cell r="G16">
            <v>-1408312</v>
          </cell>
          <cell r="H16">
            <v>-774044</v>
          </cell>
          <cell r="I16">
            <v>-531249</v>
          </cell>
          <cell r="J16">
            <v>-502830</v>
          </cell>
          <cell r="K16">
            <v>-470951</v>
          </cell>
          <cell r="L16">
            <v>-504684</v>
          </cell>
          <cell r="M16">
            <v>-546805</v>
          </cell>
          <cell r="N16">
            <v>-723011</v>
          </cell>
          <cell r="O16">
            <v>-891508</v>
          </cell>
          <cell r="P16">
            <v>-997784</v>
          </cell>
          <cell r="T16">
            <v>13</v>
          </cell>
          <cell r="U16" t="str">
            <v>Less: ESNG to DE, MD and SP</v>
          </cell>
          <cell r="X16">
            <v>-1760470</v>
          </cell>
          <cell r="Y16">
            <v>-1489044</v>
          </cell>
          <cell r="Z16">
            <v>-1384042</v>
          </cell>
          <cell r="AA16">
            <v>-784703</v>
          </cell>
          <cell r="AB16">
            <v>-536394</v>
          </cell>
          <cell r="AC16">
            <v>-479780</v>
          </cell>
          <cell r="AD16">
            <v>-454073</v>
          </cell>
          <cell r="AE16">
            <v>-474969</v>
          </cell>
          <cell r="AF16">
            <v>-556432</v>
          </cell>
          <cell r="AG16">
            <v>-681739</v>
          </cell>
          <cell r="AH16">
            <v>-1104408</v>
          </cell>
          <cell r="AI16">
            <v>-1347920</v>
          </cell>
        </row>
        <row r="17">
          <cell r="A17">
            <v>14</v>
          </cell>
          <cell r="B17" t="str">
            <v>Total Deliveries</v>
          </cell>
          <cell r="D17">
            <v>36064178</v>
          </cell>
          <cell r="E17">
            <v>3221649</v>
          </cell>
          <cell r="F17">
            <v>2852340</v>
          </cell>
          <cell r="G17">
            <v>3258146</v>
          </cell>
          <cell r="H17">
            <v>2866891</v>
          </cell>
          <cell r="I17">
            <v>2851230</v>
          </cell>
          <cell r="J17">
            <v>2937305</v>
          </cell>
          <cell r="K17">
            <v>3288711</v>
          </cell>
          <cell r="L17">
            <v>3073213</v>
          </cell>
          <cell r="M17">
            <v>2955504</v>
          </cell>
          <cell r="N17">
            <v>2652263</v>
          </cell>
          <cell r="O17">
            <v>2650815</v>
          </cell>
          <cell r="P17">
            <v>3456111</v>
          </cell>
          <cell r="T17">
            <v>14</v>
          </cell>
          <cell r="U17" t="str">
            <v>Total Deliveries</v>
          </cell>
          <cell r="X17">
            <v>2556373</v>
          </cell>
          <cell r="Y17">
            <v>2859509</v>
          </cell>
          <cell r="Z17">
            <v>3039071</v>
          </cell>
          <cell r="AA17">
            <v>2073963</v>
          </cell>
          <cell r="AB17">
            <v>2211610</v>
          </cell>
          <cell r="AC17">
            <v>1882687</v>
          </cell>
          <cell r="AD17">
            <v>2255979</v>
          </cell>
          <cell r="AE17">
            <v>2268880</v>
          </cell>
          <cell r="AF17">
            <v>2322293</v>
          </cell>
          <cell r="AG17">
            <v>2317937</v>
          </cell>
          <cell r="AH17">
            <v>2637456</v>
          </cell>
          <cell r="AI17">
            <v>2795738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1.06185</v>
          </cell>
          <cell r="F20">
            <v>1.0644100000000001</v>
          </cell>
          <cell r="G20">
            <v>1.0635699999999999</v>
          </cell>
          <cell r="H20">
            <v>1.05844</v>
          </cell>
          <cell r="I20">
            <v>1.05888</v>
          </cell>
          <cell r="J20">
            <v>1.0630299999999999</v>
          </cell>
          <cell r="K20">
            <v>1.05836</v>
          </cell>
          <cell r="L20">
            <v>1.0565500000000001</v>
          </cell>
          <cell r="M20">
            <v>1.05507</v>
          </cell>
          <cell r="N20">
            <v>1.0595300000000001</v>
          </cell>
          <cell r="O20">
            <v>1.05454</v>
          </cell>
          <cell r="P20">
            <v>1.05528</v>
          </cell>
          <cell r="T20">
            <v>17</v>
          </cell>
          <cell r="X20">
            <v>1.0648500000000001</v>
          </cell>
          <cell r="Y20">
            <v>1.05365</v>
          </cell>
          <cell r="Z20">
            <v>1.05331</v>
          </cell>
          <cell r="AA20">
            <v>1.0564499999999999</v>
          </cell>
          <cell r="AB20">
            <v>1.05789</v>
          </cell>
          <cell r="AC20">
            <v>1.05959</v>
          </cell>
          <cell r="AD20">
            <v>1.0670500000000001</v>
          </cell>
          <cell r="AE20">
            <v>1.0666</v>
          </cell>
          <cell r="AF20">
            <v>1.0642199999999999</v>
          </cell>
          <cell r="AG20">
            <v>1.0648599999999999</v>
          </cell>
          <cell r="AH20">
            <v>1.06724</v>
          </cell>
          <cell r="AI20">
            <v>1.06707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44385638.855889998</v>
          </cell>
          <cell r="E22">
            <v>5141275</v>
          </cell>
          <cell r="F22">
            <v>4920968</v>
          </cell>
          <cell r="G22">
            <v>4779708</v>
          </cell>
          <cell r="H22">
            <v>3581673</v>
          </cell>
          <cell r="I22">
            <v>3177744.4118400002</v>
          </cell>
          <cell r="J22">
            <v>3060701.4887199998</v>
          </cell>
          <cell r="K22">
            <v>3077657.9619999998</v>
          </cell>
          <cell r="L22">
            <v>3030374.5224500005</v>
          </cell>
          <cell r="M22">
            <v>2856852.0765899997</v>
          </cell>
          <cell r="N22">
            <v>2949321.4818900004</v>
          </cell>
          <cell r="O22">
            <v>3504417.80088</v>
          </cell>
          <cell r="P22">
            <v>4304945.1115199998</v>
          </cell>
          <cell r="T22">
            <v>19</v>
          </cell>
          <cell r="U22" t="str">
            <v>Transportation firm</v>
          </cell>
          <cell r="X22">
            <v>4410451.1022000005</v>
          </cell>
          <cell r="Y22">
            <v>4477799.6627000002</v>
          </cell>
          <cell r="Z22">
            <v>4486058.87641</v>
          </cell>
          <cell r="AA22">
            <v>2966227.4149499997</v>
          </cell>
          <cell r="AB22">
            <v>2828693.1288899998</v>
          </cell>
          <cell r="AC22">
            <v>2369175.4262399999</v>
          </cell>
          <cell r="AD22">
            <v>2679947.2934000003</v>
          </cell>
          <cell r="AE22">
            <v>2807883.1630000002</v>
          </cell>
          <cell r="AF22">
            <v>2926202.7248399998</v>
          </cell>
          <cell r="AG22">
            <v>3067935.1353399996</v>
          </cell>
          <cell r="AH22">
            <v>3753729.6124399998</v>
          </cell>
          <cell r="AI22">
            <v>4284579.4942499995</v>
          </cell>
        </row>
        <row r="23">
          <cell r="A23">
            <v>20</v>
          </cell>
          <cell r="B23" t="str">
            <v>Interruptible transportation</v>
          </cell>
          <cell r="D23">
            <v>5416080.9962199992</v>
          </cell>
          <cell r="E23">
            <v>160863</v>
          </cell>
          <cell r="F23">
            <v>56876</v>
          </cell>
          <cell r="G23">
            <v>183397</v>
          </cell>
          <cell r="H23">
            <v>272038</v>
          </cell>
          <cell r="I23">
            <v>403894.95168</v>
          </cell>
          <cell r="J23">
            <v>596265.22032999992</v>
          </cell>
          <cell r="K23">
            <v>901417.91232</v>
          </cell>
          <cell r="L23">
            <v>749852.55290000013</v>
          </cell>
          <cell r="M23">
            <v>838329.08003999991</v>
          </cell>
          <cell r="N23">
            <v>626882.5793300001</v>
          </cell>
          <cell r="O23">
            <v>231103.49554</v>
          </cell>
          <cell r="P23">
            <v>395161.20408</v>
          </cell>
          <cell r="T23">
            <v>20</v>
          </cell>
          <cell r="U23" t="str">
            <v>Interruptible transportation</v>
          </cell>
          <cell r="X23">
            <v>186339.16635000001</v>
          </cell>
          <cell r="Y23">
            <v>104053.20574999999</v>
          </cell>
          <cell r="Z23">
            <v>172850.27762000001</v>
          </cell>
          <cell r="AA23">
            <v>53810.280749999991</v>
          </cell>
          <cell r="AB23">
            <v>78392.822669999994</v>
          </cell>
          <cell r="AC23">
            <v>134070.98229000001</v>
          </cell>
          <cell r="AD23">
            <v>211813.69320000001</v>
          </cell>
          <cell r="AE23">
            <v>118706.1804</v>
          </cell>
          <cell r="AF23">
            <v>137393.99466</v>
          </cell>
          <cell r="AG23">
            <v>126299.85001999998</v>
          </cell>
          <cell r="AH23">
            <v>239737.32292000001</v>
          </cell>
          <cell r="AI23">
            <v>136993.64780999999</v>
          </cell>
        </row>
        <row r="24">
          <cell r="A24">
            <v>21</v>
          </cell>
          <cell r="B24" t="str">
            <v>Less: ESNG to DE, MD &amp; SP</v>
          </cell>
          <cell r="D24">
            <v>-11604884.638599999</v>
          </cell>
          <cell r="E24">
            <v>-1881230</v>
          </cell>
          <cell r="F24">
            <v>-1941784</v>
          </cell>
          <cell r="G24">
            <v>-1497838</v>
          </cell>
          <cell r="H24">
            <v>-819279</v>
          </cell>
          <cell r="I24">
            <v>-562528.94111999997</v>
          </cell>
          <cell r="J24">
            <v>-534523.37489999994</v>
          </cell>
          <cell r="K24">
            <v>-498435.70035999996</v>
          </cell>
          <cell r="L24">
            <v>-533223.88020000001</v>
          </cell>
          <cell r="M24">
            <v>-576917.55134999997</v>
          </cell>
          <cell r="N24">
            <v>-766051.84483000007</v>
          </cell>
          <cell r="O24">
            <v>-940130.84632000001</v>
          </cell>
          <cell r="P24">
            <v>-1052941.4995200001</v>
          </cell>
          <cell r="T24">
            <v>21</v>
          </cell>
          <cell r="U24" t="str">
            <v>Less: ESNG to DE, MD and SP</v>
          </cell>
          <cell r="X24">
            <v>-1874636.4795000001</v>
          </cell>
          <cell r="Y24">
            <v>-1568931.2105999999</v>
          </cell>
          <cell r="Z24">
            <v>-1457825.27902</v>
          </cell>
          <cell r="AA24">
            <v>-828999.48434999993</v>
          </cell>
          <cell r="AB24">
            <v>-567445.84866000002</v>
          </cell>
          <cell r="AC24">
            <v>-508370.09020000004</v>
          </cell>
          <cell r="AD24">
            <v>-484518.59465000004</v>
          </cell>
          <cell r="AE24">
            <v>-506601.93540000002</v>
          </cell>
          <cell r="AF24">
            <v>-592166.06303999992</v>
          </cell>
          <cell r="AG24">
            <v>-725956.59153999994</v>
          </cell>
          <cell r="AH24">
            <v>-1178668.3939199999</v>
          </cell>
          <cell r="AI24">
            <v>-1438324.9944</v>
          </cell>
        </row>
        <row r="25">
          <cell r="A25">
            <v>22</v>
          </cell>
          <cell r="B25" t="str">
            <v>Total Deliveries</v>
          </cell>
          <cell r="D25">
            <v>0</v>
          </cell>
          <cell r="E25">
            <v>3420908</v>
          </cell>
          <cell r="F25">
            <v>3036060</v>
          </cell>
          <cell r="G25">
            <v>3465267</v>
          </cell>
          <cell r="H25">
            <v>3034432</v>
          </cell>
          <cell r="I25">
            <v>3019110.4224</v>
          </cell>
          <cell r="J25">
            <v>3122443.3341499995</v>
          </cell>
          <cell r="K25">
            <v>3480640.1739599998</v>
          </cell>
          <cell r="L25">
            <v>3247003.1951500005</v>
          </cell>
          <cell r="M25">
            <v>3118263.6052799998</v>
          </cell>
          <cell r="N25">
            <v>2810152.2163900007</v>
          </cell>
          <cell r="O25">
            <v>2795390.4501</v>
          </cell>
          <cell r="P25">
            <v>3647164.8160799993</v>
          </cell>
          <cell r="T25">
            <v>22</v>
          </cell>
          <cell r="U25" t="str">
            <v>Total Deliveries</v>
          </cell>
          <cell r="X25">
            <v>2722153.7890499998</v>
          </cell>
          <cell r="Y25">
            <v>3012921.6578500001</v>
          </cell>
          <cell r="Z25">
            <v>3201083.8750099996</v>
          </cell>
          <cell r="AA25">
            <v>2191038.2113499995</v>
          </cell>
          <cell r="AB25">
            <v>2339640.1028999998</v>
          </cell>
          <cell r="AC25">
            <v>1994876.3183300002</v>
          </cell>
          <cell r="AD25">
            <v>2407242.3919500005</v>
          </cell>
          <cell r="AE25">
            <v>2419987.4080000003</v>
          </cell>
          <cell r="AF25">
            <v>2471430.6564599997</v>
          </cell>
          <cell r="AG25">
            <v>2468278.3938199994</v>
          </cell>
          <cell r="AH25">
            <v>2814798.5414399998</v>
          </cell>
          <cell r="AI25">
            <v>2983248.1476599993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39610580</v>
          </cell>
          <cell r="E29">
            <v>4764432</v>
          </cell>
          <cell r="F29">
            <v>4067702</v>
          </cell>
          <cell r="G29">
            <v>4297322</v>
          </cell>
          <cell r="H29">
            <v>3019281</v>
          </cell>
          <cell r="I29">
            <v>2771978</v>
          </cell>
          <cell r="J29">
            <v>2557702</v>
          </cell>
          <cell r="K29">
            <v>2738015</v>
          </cell>
          <cell r="L29">
            <v>2665898</v>
          </cell>
          <cell r="M29">
            <v>2690317</v>
          </cell>
          <cell r="N29">
            <v>2889860</v>
          </cell>
          <cell r="O29">
            <v>3348209</v>
          </cell>
          <cell r="P29">
            <v>3799864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-10943434</v>
          </cell>
          <cell r="E30">
            <v>-1807810</v>
          </cell>
          <cell r="F30">
            <v>-1368306</v>
          </cell>
          <cell r="G30">
            <v>-1403229</v>
          </cell>
          <cell r="H30">
            <v>-771432</v>
          </cell>
          <cell r="I30">
            <v>-547827</v>
          </cell>
          <cell r="J30">
            <v>-473497</v>
          </cell>
          <cell r="K30">
            <v>-444966</v>
          </cell>
          <cell r="L30">
            <v>-483534</v>
          </cell>
          <cell r="M30">
            <v>-560948</v>
          </cell>
          <cell r="N30">
            <v>-690039</v>
          </cell>
          <cell r="O30">
            <v>-1041854</v>
          </cell>
          <cell r="P30">
            <v>-1349992</v>
          </cell>
          <cell r="T30">
            <v>27</v>
          </cell>
        </row>
        <row r="31">
          <cell r="A31">
            <v>28</v>
          </cell>
          <cell r="D31">
            <v>28667146</v>
          </cell>
          <cell r="E31">
            <v>2956622</v>
          </cell>
          <cell r="F31">
            <v>2699396</v>
          </cell>
          <cell r="G31">
            <v>2894093</v>
          </cell>
          <cell r="H31">
            <v>2247849</v>
          </cell>
          <cell r="I31">
            <v>2224151</v>
          </cell>
          <cell r="J31">
            <v>2084205</v>
          </cell>
          <cell r="K31">
            <v>2293049</v>
          </cell>
          <cell r="L31">
            <v>2182364</v>
          </cell>
          <cell r="M31">
            <v>2129369</v>
          </cell>
          <cell r="N31">
            <v>2199821</v>
          </cell>
          <cell r="O31">
            <v>2306355</v>
          </cell>
          <cell r="P31">
            <v>2449872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40996950.299999997</v>
          </cell>
          <cell r="E33">
            <v>4931187.1199999992</v>
          </cell>
          <cell r="F33">
            <v>4210071.5699999994</v>
          </cell>
          <cell r="G33">
            <v>4447728.2699999996</v>
          </cell>
          <cell r="H33">
            <v>3124955.835</v>
          </cell>
          <cell r="I33">
            <v>2868997.23</v>
          </cell>
          <cell r="J33">
            <v>2647221.5699999998</v>
          </cell>
          <cell r="K33">
            <v>2833845.5249999999</v>
          </cell>
          <cell r="L33">
            <v>2759204.4299999997</v>
          </cell>
          <cell r="M33">
            <v>2784478.0949999997</v>
          </cell>
          <cell r="N33">
            <v>2991005.0999999996</v>
          </cell>
          <cell r="O33">
            <v>3465396.3149999999</v>
          </cell>
          <cell r="P33">
            <v>3932859.2399999998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-11326454.189999999</v>
          </cell>
          <cell r="E34">
            <v>-1871083.3499999999</v>
          </cell>
          <cell r="F34">
            <v>-1416196.71</v>
          </cell>
          <cell r="G34">
            <v>-1452342.0149999999</v>
          </cell>
          <cell r="H34">
            <v>-798432.12</v>
          </cell>
          <cell r="I34">
            <v>-567000.94499999995</v>
          </cell>
          <cell r="J34">
            <v>-490069.39499999996</v>
          </cell>
          <cell r="K34">
            <v>-460539.80999999994</v>
          </cell>
          <cell r="L34">
            <v>-500457.68999999994</v>
          </cell>
          <cell r="M34">
            <v>-580581.17999999993</v>
          </cell>
          <cell r="N34">
            <v>-714190.36499999999</v>
          </cell>
          <cell r="O34">
            <v>-1078318.8899999999</v>
          </cell>
          <cell r="P34">
            <v>-1397241.72</v>
          </cell>
          <cell r="T34">
            <v>31</v>
          </cell>
        </row>
        <row r="35">
          <cell r="A35">
            <v>32</v>
          </cell>
          <cell r="D35">
            <v>29670496.109999999</v>
          </cell>
          <cell r="E35">
            <v>3060103.7699999996</v>
          </cell>
          <cell r="F35">
            <v>2793874.8599999994</v>
          </cell>
          <cell r="G35">
            <v>2995386.2549999999</v>
          </cell>
          <cell r="H35">
            <v>2326523.7149999999</v>
          </cell>
          <cell r="I35">
            <v>2301996.2850000001</v>
          </cell>
          <cell r="J35">
            <v>2157152.1749999998</v>
          </cell>
          <cell r="K35">
            <v>2373305.7149999999</v>
          </cell>
          <cell r="L35">
            <v>2258746.7399999998</v>
          </cell>
          <cell r="M35">
            <v>2203896.915</v>
          </cell>
          <cell r="N35">
            <v>2276814.7349999994</v>
          </cell>
          <cell r="O35">
            <v>2387077.4249999998</v>
          </cell>
          <cell r="P35">
            <v>2535617.5199999996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- 2014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19</v>
          </cell>
          <cell r="F43">
            <v>19</v>
          </cell>
          <cell r="G43">
            <v>19</v>
          </cell>
          <cell r="H43">
            <v>19.25</v>
          </cell>
          <cell r="I43">
            <v>19.2</v>
          </cell>
          <cell r="J43">
            <v>19</v>
          </cell>
          <cell r="K43">
            <v>19.142857142857142</v>
          </cell>
          <cell r="L43">
            <v>19.125</v>
          </cell>
          <cell r="M43">
            <v>19.333333333333332</v>
          </cell>
          <cell r="N43">
            <v>19.2</v>
          </cell>
          <cell r="O43">
            <v>19.181818181818183</v>
          </cell>
          <cell r="P43">
            <v>19</v>
          </cell>
          <cell r="T43">
            <v>40</v>
          </cell>
          <cell r="U43" t="str">
            <v>Interruptible transporation</v>
          </cell>
          <cell r="X43">
            <v>20</v>
          </cell>
          <cell r="Y43">
            <v>19.5</v>
          </cell>
          <cell r="Z43">
            <v>19.333333333333332</v>
          </cell>
          <cell r="AA43">
            <v>19</v>
          </cell>
          <cell r="AB43">
            <v>18.8</v>
          </cell>
          <cell r="AC43">
            <v>18.666666666666668</v>
          </cell>
          <cell r="AD43">
            <v>18.714285714285715</v>
          </cell>
          <cell r="AE43">
            <v>18.5</v>
          </cell>
          <cell r="AF43">
            <v>18.444444444444443</v>
          </cell>
          <cell r="AG43">
            <v>18.399999999999999</v>
          </cell>
          <cell r="AH43">
            <v>18.454545454545453</v>
          </cell>
          <cell r="AI43">
            <v>18.5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16</v>
          </cell>
          <cell r="F45">
            <v>16</v>
          </cell>
          <cell r="G45">
            <v>16</v>
          </cell>
          <cell r="H45">
            <v>16.25</v>
          </cell>
          <cell r="I45">
            <v>16.2</v>
          </cell>
          <cell r="J45">
            <v>16</v>
          </cell>
          <cell r="K45">
            <v>16.142857142857142</v>
          </cell>
          <cell r="L45">
            <v>16.125</v>
          </cell>
          <cell r="M45">
            <v>16.333333333333332</v>
          </cell>
          <cell r="N45">
            <v>16.2</v>
          </cell>
          <cell r="O45">
            <v>16.181818181818183</v>
          </cell>
          <cell r="P45">
            <v>16</v>
          </cell>
          <cell r="T45">
            <v>42</v>
          </cell>
          <cell r="U45" t="str">
            <v>Total customers</v>
          </cell>
          <cell r="X45">
            <v>17</v>
          </cell>
          <cell r="Y45">
            <v>16.5</v>
          </cell>
          <cell r="Z45">
            <v>16.333333333333332</v>
          </cell>
          <cell r="AA45">
            <v>16</v>
          </cell>
          <cell r="AB45">
            <v>15.8</v>
          </cell>
          <cell r="AC45">
            <v>15.666666666666668</v>
          </cell>
          <cell r="AD45">
            <v>15.714285714285715</v>
          </cell>
          <cell r="AE45">
            <v>15.5</v>
          </cell>
          <cell r="AF45">
            <v>15.444444444444443</v>
          </cell>
          <cell r="AG45">
            <v>15.399999999999999</v>
          </cell>
          <cell r="AH45">
            <v>15.454545454545453</v>
          </cell>
          <cell r="AI45">
            <v>15.5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- 2014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4841809</v>
          </cell>
          <cell r="F51">
            <v>9464997</v>
          </cell>
          <cell r="G51">
            <v>13959020</v>
          </cell>
          <cell r="H51">
            <v>17342937</v>
          </cell>
          <cell r="I51">
            <v>20343980</v>
          </cell>
          <cell r="J51">
            <v>23223204</v>
          </cell>
          <cell r="K51">
            <v>26131154</v>
          </cell>
          <cell r="L51">
            <v>28999333</v>
          </cell>
          <cell r="M51">
            <v>31707070</v>
          </cell>
          <cell r="N51">
            <v>34490683</v>
          </cell>
          <cell r="O51">
            <v>37813855</v>
          </cell>
          <cell r="P51">
            <v>41893289</v>
          </cell>
          <cell r="T51">
            <v>48</v>
          </cell>
          <cell r="U51" t="str">
            <v>Transportation firm</v>
          </cell>
          <cell r="X51">
            <v>4141852</v>
          </cell>
          <cell r="Y51">
            <v>8391650</v>
          </cell>
          <cell r="Z51">
            <v>12650661</v>
          </cell>
          <cell r="AA51">
            <v>15458392</v>
          </cell>
          <cell r="AB51">
            <v>18132293</v>
          </cell>
          <cell r="AC51">
            <v>20368229</v>
          </cell>
          <cell r="AD51">
            <v>22879777</v>
          </cell>
          <cell r="AE51">
            <v>25512332</v>
          </cell>
          <cell r="AF51">
            <v>28261954</v>
          </cell>
          <cell r="AG51">
            <v>31143023</v>
          </cell>
          <cell r="AH51">
            <v>34660254</v>
          </cell>
          <cell r="AI51">
            <v>38675529</v>
          </cell>
        </row>
        <row r="52">
          <cell r="A52">
            <v>49</v>
          </cell>
          <cell r="B52" t="str">
            <v>Interruptible transportation</v>
          </cell>
          <cell r="E52">
            <v>151493</v>
          </cell>
          <cell r="F52">
            <v>204927</v>
          </cell>
          <cell r="G52">
            <v>377362</v>
          </cell>
          <cell r="H52">
            <v>634380</v>
          </cell>
          <cell r="I52">
            <v>1015816</v>
          </cell>
          <cell r="J52">
            <v>1576727</v>
          </cell>
          <cell r="K52">
            <v>2428439</v>
          </cell>
          <cell r="L52">
            <v>3138157</v>
          </cell>
          <cell r="M52">
            <v>3932729</v>
          </cell>
          <cell r="N52">
            <v>4524390</v>
          </cell>
          <cell r="O52">
            <v>4743541</v>
          </cell>
          <cell r="P52">
            <v>5118002</v>
          </cell>
          <cell r="T52">
            <v>49</v>
          </cell>
          <cell r="U52" t="str">
            <v>Interruptible transporation</v>
          </cell>
          <cell r="X52">
            <v>174991</v>
          </cell>
          <cell r="Y52">
            <v>273746</v>
          </cell>
          <cell r="Z52">
            <v>437848</v>
          </cell>
          <cell r="AA52">
            <v>488783</v>
          </cell>
          <cell r="AB52">
            <v>562886</v>
          </cell>
          <cell r="AC52">
            <v>689417</v>
          </cell>
          <cell r="AD52">
            <v>887921</v>
          </cell>
          <cell r="AE52">
            <v>999215</v>
          </cell>
          <cell r="AF52">
            <v>1128318</v>
          </cell>
          <cell r="AG52">
            <v>1246925</v>
          </cell>
          <cell r="AH52">
            <v>1471558</v>
          </cell>
          <cell r="AI52">
            <v>1599941</v>
          </cell>
        </row>
        <row r="53">
          <cell r="A53">
            <v>50</v>
          </cell>
          <cell r="B53" t="str">
            <v>Less: ESNG to DE, MD &amp; SP</v>
          </cell>
          <cell r="E53">
            <v>-1771653</v>
          </cell>
          <cell r="F53">
            <v>-3595935</v>
          </cell>
          <cell r="G53">
            <v>-5004247</v>
          </cell>
          <cell r="H53">
            <v>-5778291</v>
          </cell>
          <cell r="I53">
            <v>-6309540</v>
          </cell>
          <cell r="J53">
            <v>-6812370</v>
          </cell>
          <cell r="K53">
            <v>-7283321</v>
          </cell>
          <cell r="L53">
            <v>-7788005</v>
          </cell>
          <cell r="M53">
            <v>-8334810</v>
          </cell>
          <cell r="N53">
            <v>-9057821</v>
          </cell>
          <cell r="O53">
            <v>-9949329</v>
          </cell>
          <cell r="P53">
            <v>-10947113</v>
          </cell>
          <cell r="T53">
            <v>50</v>
          </cell>
          <cell r="U53" t="str">
            <v>Less: ESNG to DE, MD &amp; SP</v>
          </cell>
          <cell r="X53">
            <v>-1760470</v>
          </cell>
          <cell r="Y53">
            <v>-3249514</v>
          </cell>
          <cell r="Z53">
            <v>-4633556</v>
          </cell>
          <cell r="AA53">
            <v>-5418259</v>
          </cell>
          <cell r="AB53">
            <v>-5954653</v>
          </cell>
          <cell r="AC53">
            <v>-6434433</v>
          </cell>
          <cell r="AD53">
            <v>-6888506</v>
          </cell>
          <cell r="AE53">
            <v>-7363475</v>
          </cell>
          <cell r="AF53">
            <v>-7919907</v>
          </cell>
          <cell r="AG53">
            <v>-8601646</v>
          </cell>
          <cell r="AH53">
            <v>-9706054</v>
          </cell>
          <cell r="AI53">
            <v>-11053974</v>
          </cell>
        </row>
        <row r="54">
          <cell r="A54">
            <v>51</v>
          </cell>
          <cell r="B54" t="str">
            <v>Total Deliveries</v>
          </cell>
          <cell r="E54">
            <v>3221649</v>
          </cell>
          <cell r="F54">
            <v>6073989</v>
          </cell>
          <cell r="G54">
            <v>9332135</v>
          </cell>
          <cell r="H54">
            <v>12199026</v>
          </cell>
          <cell r="I54">
            <v>15050256</v>
          </cell>
          <cell r="J54">
            <v>17987561</v>
          </cell>
          <cell r="K54">
            <v>21276272</v>
          </cell>
          <cell r="L54">
            <v>24349485</v>
          </cell>
          <cell r="M54">
            <v>27304989</v>
          </cell>
          <cell r="N54">
            <v>29957252</v>
          </cell>
          <cell r="O54">
            <v>32608067</v>
          </cell>
          <cell r="P54">
            <v>36064178</v>
          </cell>
          <cell r="T54">
            <v>51</v>
          </cell>
          <cell r="U54" t="str">
            <v>Total Deliveries</v>
          </cell>
          <cell r="X54">
            <v>2556373</v>
          </cell>
          <cell r="Y54">
            <v>5415882</v>
          </cell>
          <cell r="Z54">
            <v>8454953</v>
          </cell>
          <cell r="AA54">
            <v>10528916</v>
          </cell>
          <cell r="AB54">
            <v>12740526</v>
          </cell>
          <cell r="AC54">
            <v>14623213</v>
          </cell>
          <cell r="AD54">
            <v>16879192</v>
          </cell>
          <cell r="AE54">
            <v>19148072</v>
          </cell>
          <cell r="AF54">
            <v>21470365</v>
          </cell>
          <cell r="AG54">
            <v>23788302</v>
          </cell>
          <cell r="AH54">
            <v>26425758</v>
          </cell>
          <cell r="AI54">
            <v>29221496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5141275</v>
          </cell>
          <cell r="F58">
            <v>10062243</v>
          </cell>
          <cell r="G58">
            <v>14841951</v>
          </cell>
          <cell r="H58">
            <v>18423624</v>
          </cell>
          <cell r="I58">
            <v>21601368.411839999</v>
          </cell>
          <cell r="J58">
            <v>24662069.900559999</v>
          </cell>
          <cell r="K58">
            <v>27739727.86256</v>
          </cell>
          <cell r="L58">
            <v>30770102.38501</v>
          </cell>
          <cell r="M58">
            <v>33626954.461599998</v>
          </cell>
          <cell r="N58">
            <v>36576275.943489999</v>
          </cell>
          <cell r="O58">
            <v>40080693.744369999</v>
          </cell>
          <cell r="P58">
            <v>44385638.855889998</v>
          </cell>
          <cell r="T58">
            <v>55</v>
          </cell>
          <cell r="U58" t="str">
            <v>Transportation firm</v>
          </cell>
          <cell r="X58">
            <v>4410451.1022000005</v>
          </cell>
          <cell r="Y58">
            <v>8888250.7649000008</v>
          </cell>
          <cell r="Z58">
            <v>13374309.641310001</v>
          </cell>
          <cell r="AA58">
            <v>16340537.056260001</v>
          </cell>
          <cell r="AB58">
            <v>19169230.185150001</v>
          </cell>
          <cell r="AC58">
            <v>21538405.611390002</v>
          </cell>
          <cell r="AD58">
            <v>24218352.904790003</v>
          </cell>
          <cell r="AE58">
            <v>27026236.067790002</v>
          </cell>
          <cell r="AF58">
            <v>29952438.792630002</v>
          </cell>
          <cell r="AG58">
            <v>33020373.92797</v>
          </cell>
          <cell r="AH58">
            <v>36774103.540409997</v>
          </cell>
          <cell r="AI58">
            <v>41058683.034659997</v>
          </cell>
        </row>
        <row r="59">
          <cell r="A59">
            <v>56</v>
          </cell>
          <cell r="B59" t="str">
            <v>Interruptible transportation</v>
          </cell>
          <cell r="E59">
            <v>160863</v>
          </cell>
          <cell r="F59">
            <v>217739</v>
          </cell>
          <cell r="G59">
            <v>401136</v>
          </cell>
          <cell r="H59">
            <v>673174</v>
          </cell>
          <cell r="I59">
            <v>1077068.9516799999</v>
          </cell>
          <cell r="J59">
            <v>1673334.1720099999</v>
          </cell>
          <cell r="K59">
            <v>2574752.08433</v>
          </cell>
          <cell r="L59">
            <v>3324604.63723</v>
          </cell>
          <cell r="M59">
            <v>4162933.7172699999</v>
          </cell>
          <cell r="N59">
            <v>4789816.2966</v>
          </cell>
          <cell r="O59">
            <v>5020919.7921399996</v>
          </cell>
          <cell r="P59">
            <v>5416080.9962199992</v>
          </cell>
        </row>
        <row r="60">
          <cell r="A60">
            <v>57</v>
          </cell>
          <cell r="B60" t="str">
            <v>Less: ESNG to DE, MD &amp; SP</v>
          </cell>
          <cell r="E60">
            <v>-1881230</v>
          </cell>
          <cell r="F60">
            <v>-3823014</v>
          </cell>
          <cell r="G60">
            <v>-5320852</v>
          </cell>
          <cell r="H60">
            <v>-6140131</v>
          </cell>
          <cell r="I60">
            <v>-6702659.9411199996</v>
          </cell>
          <cell r="J60">
            <v>-7237183.3160199998</v>
          </cell>
          <cell r="K60">
            <v>-7735619.0163799999</v>
          </cell>
          <cell r="L60">
            <v>-8268842.8965799995</v>
          </cell>
          <cell r="M60">
            <v>-8845760.4479299989</v>
          </cell>
          <cell r="N60">
            <v>-9611812.2927599996</v>
          </cell>
          <cell r="O60">
            <v>-10551943.139079999</v>
          </cell>
          <cell r="P60">
            <v>-11604884.638599999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3420908</v>
          </cell>
          <cell r="F61">
            <v>6456968</v>
          </cell>
          <cell r="G61">
            <v>9922235</v>
          </cell>
          <cell r="H61">
            <v>12956667</v>
          </cell>
          <cell r="I61">
            <v>15975777.422400001</v>
          </cell>
          <cell r="J61">
            <v>19098220.756549999</v>
          </cell>
          <cell r="K61">
            <v>22578860.930509999</v>
          </cell>
          <cell r="L61">
            <v>25825864.125659999</v>
          </cell>
          <cell r="M61">
            <v>28944127.730939999</v>
          </cell>
          <cell r="N61">
            <v>31754279.947329998</v>
          </cell>
          <cell r="O61">
            <v>34549670.397430003</v>
          </cell>
          <cell r="P61">
            <v>38196835.213509999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4764432</v>
          </cell>
          <cell r="F66">
            <v>8832134</v>
          </cell>
          <cell r="G66">
            <v>13129456</v>
          </cell>
          <cell r="H66">
            <v>16148737</v>
          </cell>
          <cell r="I66">
            <v>18920715</v>
          </cell>
          <cell r="J66">
            <v>21478417</v>
          </cell>
          <cell r="K66">
            <v>24216432</v>
          </cell>
          <cell r="L66">
            <v>26882330</v>
          </cell>
          <cell r="M66">
            <v>29572647</v>
          </cell>
          <cell r="N66">
            <v>32462507</v>
          </cell>
          <cell r="O66">
            <v>35810716</v>
          </cell>
          <cell r="P66">
            <v>39610580</v>
          </cell>
        </row>
        <row r="67">
          <cell r="A67">
            <v>64</v>
          </cell>
          <cell r="B67" t="str">
            <v>Less Sales to DE/MD/SP</v>
          </cell>
          <cell r="E67">
            <v>-1807810</v>
          </cell>
          <cell r="F67">
            <v>-3176116</v>
          </cell>
          <cell r="G67">
            <v>-4579345</v>
          </cell>
          <cell r="H67">
            <v>-5350777</v>
          </cell>
          <cell r="I67">
            <v>-5898604</v>
          </cell>
          <cell r="J67">
            <v>-6372101</v>
          </cell>
          <cell r="K67">
            <v>-6817067</v>
          </cell>
          <cell r="L67">
            <v>-7300601</v>
          </cell>
          <cell r="M67">
            <v>-7861549</v>
          </cell>
          <cell r="N67">
            <v>-8551588</v>
          </cell>
          <cell r="O67">
            <v>-9593442</v>
          </cell>
          <cell r="P67">
            <v>-10943434</v>
          </cell>
        </row>
        <row r="68">
          <cell r="A68">
            <v>65</v>
          </cell>
          <cell r="E68">
            <v>2956622</v>
          </cell>
          <cell r="F68">
            <v>5656018</v>
          </cell>
          <cell r="G68">
            <v>8550111</v>
          </cell>
          <cell r="H68">
            <v>10797960</v>
          </cell>
          <cell r="I68">
            <v>13022111</v>
          </cell>
          <cell r="J68">
            <v>15106316</v>
          </cell>
          <cell r="K68">
            <v>17399365</v>
          </cell>
          <cell r="L68">
            <v>19581729</v>
          </cell>
          <cell r="M68">
            <v>21711098</v>
          </cell>
          <cell r="N68">
            <v>23910919</v>
          </cell>
          <cell r="O68">
            <v>26217274</v>
          </cell>
          <cell r="P68">
            <v>28667146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4931187.1199999992</v>
          </cell>
          <cell r="F70">
            <v>9141258.6899999976</v>
          </cell>
          <cell r="G70">
            <v>13588986.959999997</v>
          </cell>
          <cell r="H70">
            <v>16713942.794999998</v>
          </cell>
          <cell r="I70">
            <v>19582940.024999999</v>
          </cell>
          <cell r="J70">
            <v>22230161.594999999</v>
          </cell>
          <cell r="K70">
            <v>25064007.119999997</v>
          </cell>
          <cell r="L70">
            <v>27823211.549999997</v>
          </cell>
          <cell r="M70">
            <v>30607689.644999996</v>
          </cell>
          <cell r="N70">
            <v>33598694.744999997</v>
          </cell>
          <cell r="O70">
            <v>37064091.059999995</v>
          </cell>
          <cell r="P70">
            <v>40996950.299999997</v>
          </cell>
        </row>
        <row r="71">
          <cell r="A71">
            <v>68</v>
          </cell>
          <cell r="B71" t="str">
            <v>Less Sales to DE/MD/SP</v>
          </cell>
          <cell r="E71">
            <v>-1871083.3499999999</v>
          </cell>
          <cell r="F71">
            <v>-3287280.0599999996</v>
          </cell>
          <cell r="G71">
            <v>-4739622.0749999993</v>
          </cell>
          <cell r="H71">
            <v>-5538054.1949999994</v>
          </cell>
          <cell r="I71">
            <v>-6105055.1399999997</v>
          </cell>
          <cell r="J71">
            <v>-6595124.5349999992</v>
          </cell>
          <cell r="K71">
            <v>-7055664.3449999988</v>
          </cell>
          <cell r="L71">
            <v>-7556122.0349999983</v>
          </cell>
          <cell r="M71">
            <v>-8136703.214999998</v>
          </cell>
          <cell r="N71">
            <v>-8850893.5799999982</v>
          </cell>
          <cell r="O71">
            <v>-9929212.4699999988</v>
          </cell>
          <cell r="P71">
            <v>-11326454.189999999</v>
          </cell>
        </row>
      </sheetData>
      <sheetData sheetId="15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</row>
        <row r="5">
          <cell r="A5">
            <v>2</v>
          </cell>
          <cell r="B5" t="str">
            <v>Residential</v>
          </cell>
          <cell r="D5">
            <v>9648.5833333333339</v>
          </cell>
          <cell r="E5">
            <v>9803</v>
          </cell>
          <cell r="F5">
            <v>9772</v>
          </cell>
          <cell r="G5">
            <v>9765</v>
          </cell>
          <cell r="H5">
            <v>9697</v>
          </cell>
          <cell r="I5">
            <v>9651</v>
          </cell>
          <cell r="J5">
            <v>9626</v>
          </cell>
          <cell r="K5">
            <v>9592</v>
          </cell>
          <cell r="L5">
            <v>9589</v>
          </cell>
          <cell r="M5">
            <v>9570</v>
          </cell>
          <cell r="N5">
            <v>9572</v>
          </cell>
          <cell r="O5">
            <v>9566</v>
          </cell>
          <cell r="P5">
            <v>9580</v>
          </cell>
        </row>
        <row r="6">
          <cell r="A6">
            <v>3</v>
          </cell>
          <cell r="B6" t="str">
            <v>Commercial</v>
          </cell>
          <cell r="D6">
            <v>1068.5</v>
          </cell>
          <cell r="E6">
            <v>1056</v>
          </cell>
          <cell r="F6">
            <v>1052</v>
          </cell>
          <cell r="G6">
            <v>1049</v>
          </cell>
          <cell r="H6">
            <v>1050</v>
          </cell>
          <cell r="I6">
            <v>1081</v>
          </cell>
          <cell r="J6">
            <v>1089</v>
          </cell>
          <cell r="K6">
            <v>1096</v>
          </cell>
          <cell r="L6">
            <v>1095</v>
          </cell>
          <cell r="M6">
            <v>1094</v>
          </cell>
          <cell r="N6">
            <v>1078</v>
          </cell>
          <cell r="O6">
            <v>1048</v>
          </cell>
          <cell r="P6">
            <v>1034</v>
          </cell>
        </row>
        <row r="7">
          <cell r="A7">
            <v>4</v>
          </cell>
          <cell r="B7" t="str">
            <v xml:space="preserve">Industrial </v>
          </cell>
          <cell r="D7">
            <v>4.25</v>
          </cell>
          <cell r="E7">
            <v>4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L7">
            <v>5</v>
          </cell>
          <cell r="M7">
            <v>5</v>
          </cell>
          <cell r="N7">
            <v>5</v>
          </cell>
          <cell r="O7">
            <v>4</v>
          </cell>
          <cell r="P7">
            <v>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6</v>
          </cell>
          <cell r="B9" t="str">
            <v>Total customers</v>
          </cell>
          <cell r="D9">
            <v>10721.333333333334</v>
          </cell>
          <cell r="E9">
            <v>10863</v>
          </cell>
          <cell r="F9">
            <v>10828</v>
          </cell>
          <cell r="G9">
            <v>10818</v>
          </cell>
          <cell r="H9">
            <v>10751</v>
          </cell>
          <cell r="I9">
            <v>10736</v>
          </cell>
          <cell r="J9">
            <v>10719</v>
          </cell>
          <cell r="K9">
            <v>10692</v>
          </cell>
          <cell r="L9">
            <v>10689</v>
          </cell>
          <cell r="M9">
            <v>10669</v>
          </cell>
          <cell r="N9">
            <v>10655</v>
          </cell>
          <cell r="O9">
            <v>10618</v>
          </cell>
          <cell r="P9">
            <v>10618</v>
          </cell>
        </row>
        <row r="10">
          <cell r="A10">
            <v>7</v>
          </cell>
        </row>
        <row r="11">
          <cell r="A11">
            <v>8</v>
          </cell>
          <cell r="B11" t="str">
            <v>Volume - 2015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</row>
        <row r="12">
          <cell r="A12">
            <v>9</v>
          </cell>
          <cell r="B12" t="str">
            <v>Residential</v>
          </cell>
          <cell r="D12">
            <v>269550</v>
          </cell>
          <cell r="E12">
            <v>50745</v>
          </cell>
          <cell r="F12">
            <v>64437</v>
          </cell>
          <cell r="G12">
            <v>56807</v>
          </cell>
          <cell r="H12">
            <v>26054</v>
          </cell>
          <cell r="I12">
            <v>10898</v>
          </cell>
          <cell r="J12">
            <v>6341</v>
          </cell>
          <cell r="K12">
            <v>5807</v>
          </cell>
          <cell r="L12">
            <v>6088</v>
          </cell>
          <cell r="M12">
            <v>5496</v>
          </cell>
          <cell r="N12">
            <v>6701</v>
          </cell>
          <cell r="O12">
            <v>11211</v>
          </cell>
          <cell r="P12">
            <v>18965</v>
          </cell>
        </row>
        <row r="13">
          <cell r="A13">
            <v>10</v>
          </cell>
          <cell r="B13" t="str">
            <v>Commercial</v>
          </cell>
          <cell r="D13">
            <v>447521</v>
          </cell>
          <cell r="E13">
            <v>42299</v>
          </cell>
          <cell r="F13">
            <v>46024</v>
          </cell>
          <cell r="G13">
            <v>50561</v>
          </cell>
          <cell r="H13">
            <v>36316</v>
          </cell>
          <cell r="I13">
            <v>30310</v>
          </cell>
          <cell r="J13">
            <v>32679</v>
          </cell>
          <cell r="K13">
            <v>39750</v>
          </cell>
          <cell r="L13">
            <v>44573</v>
          </cell>
          <cell r="M13">
            <v>39127</v>
          </cell>
          <cell r="N13">
            <v>31764</v>
          </cell>
          <cell r="O13">
            <v>25583</v>
          </cell>
          <cell r="P13">
            <v>28535</v>
          </cell>
        </row>
        <row r="14">
          <cell r="A14">
            <v>11</v>
          </cell>
          <cell r="B14" t="str">
            <v xml:space="preserve">Industrial </v>
          </cell>
          <cell r="D14">
            <v>74721</v>
          </cell>
          <cell r="E14">
            <v>4734</v>
          </cell>
          <cell r="F14">
            <v>4152</v>
          </cell>
          <cell r="G14">
            <v>4719</v>
          </cell>
          <cell r="H14">
            <v>7199</v>
          </cell>
          <cell r="I14">
            <v>6913</v>
          </cell>
          <cell r="J14">
            <v>7749</v>
          </cell>
          <cell r="K14">
            <v>5988</v>
          </cell>
          <cell r="L14">
            <v>5822</v>
          </cell>
          <cell r="M14">
            <v>8904</v>
          </cell>
          <cell r="N14">
            <v>6577</v>
          </cell>
          <cell r="O14">
            <v>5520</v>
          </cell>
          <cell r="P14">
            <v>6444</v>
          </cell>
        </row>
        <row r="15">
          <cell r="A15">
            <v>12</v>
          </cell>
          <cell r="B15" t="str">
            <v>Other</v>
          </cell>
          <cell r="D15">
            <v>0</v>
          </cell>
        </row>
        <row r="16">
          <cell r="A16">
            <v>13</v>
          </cell>
          <cell r="B16" t="str">
            <v>Total customers</v>
          </cell>
          <cell r="D16">
            <v>791792</v>
          </cell>
          <cell r="E16">
            <v>97778</v>
          </cell>
          <cell r="F16">
            <v>114613</v>
          </cell>
          <cell r="G16">
            <v>112087</v>
          </cell>
          <cell r="H16">
            <v>69569</v>
          </cell>
          <cell r="I16">
            <v>48121</v>
          </cell>
          <cell r="J16">
            <v>46769</v>
          </cell>
          <cell r="K16">
            <v>51545</v>
          </cell>
          <cell r="L16">
            <v>56483</v>
          </cell>
          <cell r="M16">
            <v>53527</v>
          </cell>
          <cell r="N16">
            <v>45042</v>
          </cell>
          <cell r="O16">
            <v>42314</v>
          </cell>
          <cell r="P16">
            <v>53944</v>
          </cell>
        </row>
        <row r="17">
          <cell r="A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1.06185</v>
          </cell>
          <cell r="F18">
            <v>1.0644100000000001</v>
          </cell>
          <cell r="G18">
            <v>1.0635699999999999</v>
          </cell>
          <cell r="H18">
            <v>1.05844</v>
          </cell>
          <cell r="I18">
            <v>1.05888</v>
          </cell>
          <cell r="J18">
            <v>1.0630299999999999</v>
          </cell>
          <cell r="K18">
            <v>1.05836</v>
          </cell>
          <cell r="L18">
            <v>1.0565500000000001</v>
          </cell>
          <cell r="M18">
            <v>1.05507</v>
          </cell>
          <cell r="N18">
            <v>1.0595300000000001</v>
          </cell>
          <cell r="O18">
            <v>1.05454</v>
          </cell>
          <cell r="P18">
            <v>1.05528</v>
          </cell>
        </row>
        <row r="19">
          <cell r="A19">
            <v>16</v>
          </cell>
        </row>
        <row r="20">
          <cell r="A20">
            <v>17</v>
          </cell>
          <cell r="B20" t="str">
            <v xml:space="preserve">Volume - 2015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</row>
        <row r="21">
          <cell r="A21">
            <v>18</v>
          </cell>
          <cell r="B21" t="str">
            <v>Residential</v>
          </cell>
          <cell r="D21">
            <v>286059</v>
          </cell>
          <cell r="E21">
            <v>53884</v>
          </cell>
          <cell r="F21">
            <v>68587</v>
          </cell>
          <cell r="G21">
            <v>60418</v>
          </cell>
          <cell r="H21">
            <v>27577</v>
          </cell>
          <cell r="I21">
            <v>11540</v>
          </cell>
          <cell r="J21">
            <v>6741</v>
          </cell>
          <cell r="K21">
            <v>6146</v>
          </cell>
          <cell r="L21">
            <v>6432</v>
          </cell>
          <cell r="M21">
            <v>5799</v>
          </cell>
          <cell r="N21">
            <v>7100</v>
          </cell>
          <cell r="O21">
            <v>11822</v>
          </cell>
          <cell r="P21">
            <v>20013</v>
          </cell>
        </row>
        <row r="22">
          <cell r="A22">
            <v>19</v>
          </cell>
          <cell r="B22" t="str">
            <v>Commercial</v>
          </cell>
          <cell r="D22">
            <v>474141</v>
          </cell>
          <cell r="E22">
            <v>44915</v>
          </cell>
          <cell r="F22">
            <v>48988</v>
          </cell>
          <cell r="G22">
            <v>53775</v>
          </cell>
          <cell r="H22">
            <v>38438</v>
          </cell>
          <cell r="I22">
            <v>32095</v>
          </cell>
          <cell r="J22">
            <v>34739</v>
          </cell>
          <cell r="K22">
            <v>42070</v>
          </cell>
          <cell r="L22">
            <v>47094</v>
          </cell>
          <cell r="M22">
            <v>41282</v>
          </cell>
          <cell r="N22">
            <v>33655</v>
          </cell>
          <cell r="O22">
            <v>26978</v>
          </cell>
          <cell r="P22">
            <v>30112</v>
          </cell>
        </row>
        <row r="23">
          <cell r="A23">
            <v>20</v>
          </cell>
          <cell r="B23" t="str">
            <v xml:space="preserve">Industrial </v>
          </cell>
          <cell r="D23">
            <v>79114</v>
          </cell>
          <cell r="E23">
            <v>5027</v>
          </cell>
          <cell r="F23">
            <v>4419</v>
          </cell>
          <cell r="G23">
            <v>5019</v>
          </cell>
          <cell r="H23">
            <v>7620</v>
          </cell>
          <cell r="I23">
            <v>7320</v>
          </cell>
          <cell r="J23">
            <v>8237</v>
          </cell>
          <cell r="K23">
            <v>6337</v>
          </cell>
          <cell r="L23">
            <v>6151</v>
          </cell>
          <cell r="M23">
            <v>9394</v>
          </cell>
          <cell r="N23">
            <v>6969</v>
          </cell>
          <cell r="O23">
            <v>5821</v>
          </cell>
          <cell r="P23">
            <v>6800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>
            <v>22</v>
          </cell>
          <cell r="B25" t="str">
            <v>Total Volume</v>
          </cell>
          <cell r="D25">
            <v>839314</v>
          </cell>
          <cell r="E25">
            <v>103826</v>
          </cell>
          <cell r="F25">
            <v>121994</v>
          </cell>
          <cell r="G25">
            <v>119212</v>
          </cell>
          <cell r="H25">
            <v>73635</v>
          </cell>
          <cell r="I25">
            <v>50955</v>
          </cell>
          <cell r="J25">
            <v>49717</v>
          </cell>
          <cell r="K25">
            <v>54553</v>
          </cell>
          <cell r="L25">
            <v>59677</v>
          </cell>
          <cell r="M25">
            <v>56475</v>
          </cell>
          <cell r="N25">
            <v>47724</v>
          </cell>
          <cell r="O25">
            <v>44621</v>
          </cell>
          <cell r="P25">
            <v>56925</v>
          </cell>
        </row>
        <row r="26">
          <cell r="A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</row>
        <row r="28">
          <cell r="A28">
            <v>25</v>
          </cell>
          <cell r="B28" t="str">
            <v xml:space="preserve">Customers </v>
          </cell>
          <cell r="E28">
            <v>10938</v>
          </cell>
          <cell r="F28">
            <v>10976</v>
          </cell>
          <cell r="G28">
            <v>10942</v>
          </cell>
          <cell r="H28">
            <v>10900</v>
          </cell>
          <cell r="I28">
            <v>10893</v>
          </cell>
          <cell r="J28">
            <v>10914</v>
          </cell>
          <cell r="K28">
            <v>10971</v>
          </cell>
          <cell r="L28">
            <v>10972</v>
          </cell>
          <cell r="M28">
            <v>10980</v>
          </cell>
          <cell r="N28">
            <v>10958</v>
          </cell>
          <cell r="O28">
            <v>10929</v>
          </cell>
          <cell r="P28">
            <v>10976</v>
          </cell>
        </row>
        <row r="29">
          <cell r="A29">
            <v>26</v>
          </cell>
          <cell r="B29" t="str">
            <v>Budget Volume (Mcfs)</v>
          </cell>
          <cell r="E29">
            <v>90391</v>
          </cell>
          <cell r="F29">
            <v>113429</v>
          </cell>
          <cell r="G29">
            <v>96794</v>
          </cell>
          <cell r="H29">
            <v>65935</v>
          </cell>
          <cell r="I29">
            <v>46408</v>
          </cell>
          <cell r="J29">
            <v>45391</v>
          </cell>
          <cell r="K29">
            <v>54766</v>
          </cell>
          <cell r="L29">
            <v>50043</v>
          </cell>
          <cell r="M29">
            <v>49276</v>
          </cell>
          <cell r="N29">
            <v>42744</v>
          </cell>
          <cell r="O29">
            <v>53930</v>
          </cell>
          <cell r="P29">
            <v>83649</v>
          </cell>
        </row>
        <row r="30">
          <cell r="A30">
            <v>27</v>
          </cell>
          <cell r="B30" t="str">
            <v>Budget Volume (Dts) * 1.035</v>
          </cell>
          <cell r="E30">
            <v>93554.684999999998</v>
          </cell>
          <cell r="F30">
            <v>117399.01499999998</v>
          </cell>
          <cell r="G30">
            <v>100181.79</v>
          </cell>
          <cell r="H30">
            <v>68242.724999999991</v>
          </cell>
          <cell r="I30">
            <v>48032.28</v>
          </cell>
          <cell r="J30">
            <v>46979.684999999998</v>
          </cell>
          <cell r="K30">
            <v>56682.81</v>
          </cell>
          <cell r="L30">
            <v>51794.504999999997</v>
          </cell>
          <cell r="M30">
            <v>51000.659999999996</v>
          </cell>
          <cell r="N30">
            <v>44240.039999999994</v>
          </cell>
          <cell r="O30">
            <v>55817.549999999996</v>
          </cell>
          <cell r="P30">
            <v>86576.714999999997</v>
          </cell>
        </row>
        <row r="31">
          <cell r="A31">
            <v>28</v>
          </cell>
        </row>
        <row r="32">
          <cell r="A32">
            <v>29</v>
          </cell>
          <cell r="B32" t="str">
            <v>YTD/CUMULATIVE SECTION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</row>
        <row r="34">
          <cell r="A34">
            <v>31</v>
          </cell>
          <cell r="B34" t="str">
            <v>Residential</v>
          </cell>
          <cell r="E34">
            <v>9803</v>
          </cell>
          <cell r="F34">
            <v>9788</v>
          </cell>
          <cell r="G34">
            <v>9780</v>
          </cell>
          <cell r="H34">
            <v>9759</v>
          </cell>
          <cell r="I34">
            <v>9738</v>
          </cell>
          <cell r="J34">
            <v>9719</v>
          </cell>
          <cell r="K34">
            <v>9701</v>
          </cell>
          <cell r="L34">
            <v>9687</v>
          </cell>
          <cell r="M34">
            <v>9674</v>
          </cell>
          <cell r="N34">
            <v>9664</v>
          </cell>
          <cell r="O34">
            <v>9655</v>
          </cell>
          <cell r="P34">
            <v>9649</v>
          </cell>
        </row>
        <row r="35">
          <cell r="A35">
            <v>32</v>
          </cell>
          <cell r="B35" t="str">
            <v>Commercial</v>
          </cell>
          <cell r="E35">
            <v>1056</v>
          </cell>
          <cell r="F35">
            <v>1054</v>
          </cell>
          <cell r="G35">
            <v>1052</v>
          </cell>
          <cell r="H35">
            <v>1052</v>
          </cell>
          <cell r="I35">
            <v>1058</v>
          </cell>
          <cell r="J35">
            <v>1063</v>
          </cell>
          <cell r="K35">
            <v>1068</v>
          </cell>
          <cell r="L35">
            <v>1071</v>
          </cell>
          <cell r="M35">
            <v>1074</v>
          </cell>
          <cell r="N35">
            <v>1074</v>
          </cell>
          <cell r="O35">
            <v>1072</v>
          </cell>
          <cell r="P35">
            <v>1069</v>
          </cell>
        </row>
        <row r="36">
          <cell r="A36">
            <v>33</v>
          </cell>
          <cell r="B36" t="str">
            <v xml:space="preserve">Industrial </v>
          </cell>
          <cell r="E36">
            <v>4</v>
          </cell>
          <cell r="F36">
            <v>4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10863</v>
          </cell>
          <cell r="F38">
            <v>10846</v>
          </cell>
          <cell r="G38">
            <v>10836</v>
          </cell>
          <cell r="H38">
            <v>10815</v>
          </cell>
          <cell r="I38">
            <v>10800</v>
          </cell>
          <cell r="J38">
            <v>10786</v>
          </cell>
          <cell r="K38">
            <v>10773</v>
          </cell>
          <cell r="L38">
            <v>10762</v>
          </cell>
          <cell r="M38">
            <v>10752</v>
          </cell>
          <cell r="N38">
            <v>10742</v>
          </cell>
          <cell r="O38">
            <v>10731</v>
          </cell>
          <cell r="P38">
            <v>10722</v>
          </cell>
        </row>
        <row r="39">
          <cell r="A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</row>
        <row r="41">
          <cell r="A41">
            <v>38</v>
          </cell>
          <cell r="B41" t="str">
            <v>Residential</v>
          </cell>
          <cell r="E41">
            <v>50745</v>
          </cell>
          <cell r="F41">
            <v>115182</v>
          </cell>
          <cell r="G41">
            <v>171989</v>
          </cell>
          <cell r="H41">
            <v>198043</v>
          </cell>
          <cell r="I41">
            <v>208941</v>
          </cell>
          <cell r="J41">
            <v>215282</v>
          </cell>
          <cell r="K41">
            <v>221089</v>
          </cell>
          <cell r="L41">
            <v>227177</v>
          </cell>
          <cell r="M41">
            <v>232673</v>
          </cell>
          <cell r="N41">
            <v>239374</v>
          </cell>
          <cell r="O41">
            <v>250585</v>
          </cell>
          <cell r="P41">
            <v>269550</v>
          </cell>
        </row>
        <row r="42">
          <cell r="A42">
            <v>39</v>
          </cell>
          <cell r="B42" t="str">
            <v>Commercial</v>
          </cell>
          <cell r="E42">
            <v>42299</v>
          </cell>
          <cell r="F42">
            <v>88323</v>
          </cell>
          <cell r="G42">
            <v>138884</v>
          </cell>
          <cell r="H42">
            <v>175200</v>
          </cell>
          <cell r="I42">
            <v>205510</v>
          </cell>
          <cell r="J42">
            <v>238189</v>
          </cell>
          <cell r="K42">
            <v>277939</v>
          </cell>
          <cell r="L42">
            <v>322512</v>
          </cell>
          <cell r="M42">
            <v>361639</v>
          </cell>
          <cell r="N42">
            <v>393403</v>
          </cell>
          <cell r="O42">
            <v>418986</v>
          </cell>
          <cell r="P42">
            <v>447521</v>
          </cell>
        </row>
        <row r="43">
          <cell r="A43">
            <v>40</v>
          </cell>
          <cell r="B43" t="str">
            <v xml:space="preserve">Industrial </v>
          </cell>
          <cell r="E43">
            <v>4734</v>
          </cell>
          <cell r="F43">
            <v>8886</v>
          </cell>
          <cell r="G43">
            <v>13605</v>
          </cell>
          <cell r="H43">
            <v>20804</v>
          </cell>
          <cell r="I43">
            <v>27717</v>
          </cell>
          <cell r="J43">
            <v>35466</v>
          </cell>
          <cell r="K43">
            <v>41454</v>
          </cell>
          <cell r="L43">
            <v>47276</v>
          </cell>
          <cell r="M43">
            <v>56180</v>
          </cell>
          <cell r="N43">
            <v>62757</v>
          </cell>
          <cell r="O43">
            <v>68277</v>
          </cell>
          <cell r="P43">
            <v>74721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42</v>
          </cell>
          <cell r="B45" t="str">
            <v>Total customers</v>
          </cell>
          <cell r="E45">
            <v>97778</v>
          </cell>
          <cell r="F45">
            <v>212391</v>
          </cell>
          <cell r="G45">
            <v>324478</v>
          </cell>
          <cell r="H45">
            <v>394047</v>
          </cell>
          <cell r="I45">
            <v>442168</v>
          </cell>
          <cell r="J45">
            <v>488937</v>
          </cell>
          <cell r="K45">
            <v>540482</v>
          </cell>
          <cell r="L45">
            <v>596965</v>
          </cell>
          <cell r="M45">
            <v>650492</v>
          </cell>
          <cell r="N45">
            <v>695534</v>
          </cell>
          <cell r="O45">
            <v>737848</v>
          </cell>
          <cell r="P45">
            <v>791792</v>
          </cell>
        </row>
        <row r="46">
          <cell r="A46">
            <v>43</v>
          </cell>
        </row>
        <row r="47">
          <cell r="A47">
            <v>44</v>
          </cell>
          <cell r="B47" t="str">
            <v xml:space="preserve">Cumulative Volume - 2015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</row>
        <row r="48">
          <cell r="A48">
            <v>45</v>
          </cell>
          <cell r="B48" t="str">
            <v>Residential</v>
          </cell>
          <cell r="E48">
            <v>53884</v>
          </cell>
          <cell r="F48">
            <v>122471</v>
          </cell>
          <cell r="G48">
            <v>182889</v>
          </cell>
          <cell r="H48">
            <v>210466</v>
          </cell>
          <cell r="I48">
            <v>222006</v>
          </cell>
          <cell r="J48">
            <v>228747</v>
          </cell>
          <cell r="K48">
            <v>234893</v>
          </cell>
          <cell r="L48">
            <v>241325</v>
          </cell>
          <cell r="M48">
            <v>247124</v>
          </cell>
          <cell r="N48">
            <v>254224</v>
          </cell>
          <cell r="O48">
            <v>266046</v>
          </cell>
          <cell r="P48">
            <v>286059</v>
          </cell>
        </row>
        <row r="49">
          <cell r="A49">
            <v>46</v>
          </cell>
          <cell r="B49" t="str">
            <v>Commercial</v>
          </cell>
          <cell r="E49">
            <v>44915</v>
          </cell>
          <cell r="F49">
            <v>93903</v>
          </cell>
          <cell r="G49">
            <v>147678</v>
          </cell>
          <cell r="H49">
            <v>186116</v>
          </cell>
          <cell r="I49">
            <v>218211</v>
          </cell>
          <cell r="J49">
            <v>252950</v>
          </cell>
          <cell r="K49">
            <v>295020</v>
          </cell>
          <cell r="L49">
            <v>342114</v>
          </cell>
          <cell r="M49">
            <v>383396</v>
          </cell>
          <cell r="N49">
            <v>417051</v>
          </cell>
          <cell r="O49">
            <v>444029</v>
          </cell>
          <cell r="P49">
            <v>474141</v>
          </cell>
        </row>
        <row r="50">
          <cell r="A50">
            <v>47</v>
          </cell>
          <cell r="B50" t="str">
            <v xml:space="preserve">Industrial </v>
          </cell>
          <cell r="E50">
            <v>5027</v>
          </cell>
          <cell r="F50">
            <v>9446</v>
          </cell>
          <cell r="G50">
            <v>14465</v>
          </cell>
          <cell r="H50">
            <v>22085</v>
          </cell>
          <cell r="I50">
            <v>29405</v>
          </cell>
          <cell r="J50">
            <v>37642</v>
          </cell>
          <cell r="K50">
            <v>43979</v>
          </cell>
          <cell r="L50">
            <v>50130</v>
          </cell>
          <cell r="M50">
            <v>59524</v>
          </cell>
          <cell r="N50">
            <v>66493</v>
          </cell>
          <cell r="O50">
            <v>72314</v>
          </cell>
          <cell r="P50">
            <v>79114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103826</v>
          </cell>
          <cell r="F52">
            <v>225820</v>
          </cell>
          <cell r="G52">
            <v>345032</v>
          </cell>
          <cell r="H52">
            <v>418667</v>
          </cell>
          <cell r="I52">
            <v>469622</v>
          </cell>
          <cell r="J52">
            <v>519339</v>
          </cell>
          <cell r="K52">
            <v>573892</v>
          </cell>
          <cell r="L52">
            <v>633569</v>
          </cell>
          <cell r="M52">
            <v>690044</v>
          </cell>
          <cell r="N52">
            <v>737768</v>
          </cell>
          <cell r="O52">
            <v>782389</v>
          </cell>
          <cell r="P52">
            <v>839314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10938</v>
          </cell>
          <cell r="F55">
            <v>10957</v>
          </cell>
          <cell r="G55">
            <v>10952</v>
          </cell>
          <cell r="H55">
            <v>10939</v>
          </cell>
          <cell r="I55">
            <v>10930</v>
          </cell>
          <cell r="J55">
            <v>10927</v>
          </cell>
          <cell r="K55">
            <v>10933</v>
          </cell>
          <cell r="L55">
            <v>10938</v>
          </cell>
          <cell r="M55">
            <v>10943</v>
          </cell>
          <cell r="N55">
            <v>10944</v>
          </cell>
          <cell r="O55">
            <v>10943</v>
          </cell>
          <cell r="P55">
            <v>10946</v>
          </cell>
        </row>
        <row r="56">
          <cell r="A56">
            <v>53</v>
          </cell>
          <cell r="B56" t="str">
            <v>Cumulative Budget YTD Volume (Mcfs)</v>
          </cell>
          <cell r="E56">
            <v>90391</v>
          </cell>
          <cell r="F56">
            <v>203820</v>
          </cell>
          <cell r="G56">
            <v>300614</v>
          </cell>
          <cell r="H56">
            <v>366549</v>
          </cell>
          <cell r="I56">
            <v>412957</v>
          </cell>
          <cell r="J56">
            <v>458348</v>
          </cell>
          <cell r="K56">
            <v>513114</v>
          </cell>
          <cell r="L56">
            <v>563157</v>
          </cell>
          <cell r="M56">
            <v>612433</v>
          </cell>
          <cell r="N56">
            <v>655177</v>
          </cell>
          <cell r="O56">
            <v>709107</v>
          </cell>
          <cell r="P56">
            <v>792756</v>
          </cell>
        </row>
        <row r="57">
          <cell r="A57">
            <v>54</v>
          </cell>
          <cell r="B57" t="str">
            <v>Cumulative YTD Budget Volume (Dts) * 1.035</v>
          </cell>
          <cell r="E57">
            <v>93554.684999999998</v>
          </cell>
          <cell r="F57">
            <v>210953.69999999998</v>
          </cell>
          <cell r="G57">
            <v>311135.49</v>
          </cell>
          <cell r="H57">
            <v>379378.21499999997</v>
          </cell>
          <cell r="I57">
            <v>427410.495</v>
          </cell>
          <cell r="J57">
            <v>474390.18</v>
          </cell>
          <cell r="K57">
            <v>531072.99</v>
          </cell>
          <cell r="L57">
            <v>582867.495</v>
          </cell>
          <cell r="M57">
            <v>633868.15500000003</v>
          </cell>
          <cell r="N57">
            <v>678108.19500000007</v>
          </cell>
          <cell r="O57">
            <v>733925.74500000011</v>
          </cell>
          <cell r="P57">
            <v>820502.46000000008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AEO"/>
      <sheetName val="PESCO"/>
      <sheetName val="Floridapropane"/>
      <sheetName val="Utility stats YTD Q2 2016"/>
      <sheetName val="Utility stats Q2 2016"/>
      <sheetName val="Utility stats YTD Q1 2016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2016 and 2015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2016</v>
          </cell>
          <cell r="J14" t="str">
            <v>Actual customers for the Month of January 2015</v>
          </cell>
          <cell r="K14" t="str">
            <v>Average customers for the One Month ended January 31, 2016</v>
          </cell>
          <cell r="L14" t="str">
            <v>Average customers for the One Month ended January 31, 2015</v>
          </cell>
          <cell r="M14" t="str">
            <v>Volume for the Month of January 2016</v>
          </cell>
          <cell r="N14" t="str">
            <v>Volume for the Month of January 2015</v>
          </cell>
          <cell r="O14" t="str">
            <v>Volume for the One Month ended January 31, 2016</v>
          </cell>
          <cell r="P14" t="str">
            <v>Volume for the One Month ended January 31, 2015</v>
          </cell>
        </row>
        <row r="15">
          <cell r="A15">
            <v>2</v>
          </cell>
          <cell r="B15" t="str">
            <v>February</v>
          </cell>
          <cell r="C15">
            <v>29</v>
          </cell>
          <cell r="D15" t="str">
            <v>Two</v>
          </cell>
          <cell r="E15" t="str">
            <v>Months</v>
          </cell>
          <cell r="F15" t="str">
            <v>For the Two Months ended February 29, 2016 and 2015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2016</v>
          </cell>
          <cell r="J15" t="str">
            <v>Actual customers for the Month of February 2015</v>
          </cell>
          <cell r="K15" t="str">
            <v>Average customers for the Two Months ended February 29, 2016</v>
          </cell>
          <cell r="L15" t="str">
            <v>Average customers for the Two Months ended February 29, 2015</v>
          </cell>
          <cell r="M15" t="str">
            <v>Volume for the Month of February 2016</v>
          </cell>
          <cell r="N15" t="str">
            <v>Volume for the Month of February 2015</v>
          </cell>
          <cell r="O15" t="str">
            <v>Volume for the Two Months ended February 29, 2016</v>
          </cell>
          <cell r="P15" t="str">
            <v>Volume for the Two Months ended February 29, 2015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2016 and 2015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2016</v>
          </cell>
          <cell r="J16" t="str">
            <v>Actual customers for the Month of March 2015</v>
          </cell>
          <cell r="K16" t="str">
            <v>Average customers for the Three Months ended March 31, 2016</v>
          </cell>
          <cell r="L16" t="str">
            <v>Average customers for the Three Months ended March 31, 2015</v>
          </cell>
          <cell r="M16" t="str">
            <v>Volume for the Month of March 2016</v>
          </cell>
          <cell r="N16" t="str">
            <v>Volume for the Month of March 2015</v>
          </cell>
          <cell r="O16" t="str">
            <v>Volume for the Three Months ended March 31, 2016</v>
          </cell>
          <cell r="P16" t="str">
            <v>Volume for the Three Months ended March 31, 2015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2016 and 2015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2016</v>
          </cell>
          <cell r="J17" t="str">
            <v>Actual customers for the Month of April 2015</v>
          </cell>
          <cell r="K17" t="str">
            <v>Average customers for the Four Months ended April 30, 2016</v>
          </cell>
          <cell r="L17" t="str">
            <v>Average customers for the Four Months ended April 30, 2015</v>
          </cell>
          <cell r="M17" t="str">
            <v>Volume for the Month of April 2016</v>
          </cell>
          <cell r="N17" t="str">
            <v>Volume for the Month of April 2015</v>
          </cell>
          <cell r="O17" t="str">
            <v>Volume for the Four Months ended April 30, 2016</v>
          </cell>
          <cell r="P17" t="str">
            <v>Volume for the Four Months ended April 30, 2015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2016 and 2015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2016</v>
          </cell>
          <cell r="J18" t="str">
            <v>Actual customers for the Month of May 2015</v>
          </cell>
          <cell r="K18" t="str">
            <v>Average customers for the Five Months ended May 31, 2016</v>
          </cell>
          <cell r="L18" t="str">
            <v>Average customers for the Five Months ended May 31, 2015</v>
          </cell>
          <cell r="M18" t="str">
            <v>Volume for the Month of May 2016</v>
          </cell>
          <cell r="N18" t="str">
            <v>Volume for the Month of May 2015</v>
          </cell>
          <cell r="O18" t="str">
            <v>Volume for the Five Months ended May 31, 2016</v>
          </cell>
          <cell r="P18" t="str">
            <v>Volume for the Five Months ended May 31, 2015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2016 and 2015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2016</v>
          </cell>
          <cell r="J19" t="str">
            <v>Actual customers for the Month of June 2015</v>
          </cell>
          <cell r="K19" t="str">
            <v>Average customers for the Six Months ended June 30, 2016</v>
          </cell>
          <cell r="L19" t="str">
            <v>Average customers for the Six Months ended June 30, 2015</v>
          </cell>
          <cell r="M19" t="str">
            <v>Volume for the Month of June 2016</v>
          </cell>
          <cell r="N19" t="str">
            <v>Volume for the Month of June 2015</v>
          </cell>
          <cell r="O19" t="str">
            <v>Volume for the Six Months ended June 30, 2016</v>
          </cell>
          <cell r="P19" t="str">
            <v>Volume for the Six Months ended June 30, 2015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2016 and 2015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2016</v>
          </cell>
          <cell r="J20" t="str">
            <v>Actual customers for the Month of July 2015</v>
          </cell>
          <cell r="K20" t="str">
            <v>Average customers for the Seven Months ended July 31, 2016</v>
          </cell>
          <cell r="L20" t="str">
            <v>Average customers for the Seven Months ended July 31, 2015</v>
          </cell>
          <cell r="M20" t="str">
            <v>Volume for the Month of July 2016</v>
          </cell>
          <cell r="N20" t="str">
            <v>Volume for the Month of July 2015</v>
          </cell>
          <cell r="O20" t="str">
            <v>Volume for the Seven Months ended July 31, 2016</v>
          </cell>
          <cell r="P20" t="str">
            <v>Volume for the Seven Months ended July 31, 2015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2016 and 2015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2016</v>
          </cell>
          <cell r="J21" t="str">
            <v>Actual customers for the Month of August 2015</v>
          </cell>
          <cell r="K21" t="str">
            <v>Average customers for the Eight Months ended August 31, 2016</v>
          </cell>
          <cell r="L21" t="str">
            <v>Average customers for the Eight Months ended August 31, 2015</v>
          </cell>
          <cell r="M21" t="str">
            <v>Volume for the Month of August 2016</v>
          </cell>
          <cell r="N21" t="str">
            <v>Volume for the Month of August 2015</v>
          </cell>
          <cell r="O21" t="str">
            <v>Volume for the Eight Months ended August 31, 2016</v>
          </cell>
          <cell r="P21" t="str">
            <v>Volume for the Eight Months ended August 31, 2015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2016 and 2015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2016</v>
          </cell>
          <cell r="J22" t="str">
            <v>Actual customers for the Month of September 2015</v>
          </cell>
          <cell r="K22" t="str">
            <v>Average customers for the Nine Months ended September 30, 2016</v>
          </cell>
          <cell r="L22" t="str">
            <v>Average customers for the Nine Months ended September 30, 2015</v>
          </cell>
          <cell r="M22" t="str">
            <v>Volume for the Month of September 2016</v>
          </cell>
          <cell r="N22" t="str">
            <v>Volume for the Month of September 2015</v>
          </cell>
          <cell r="O22" t="str">
            <v>Volume for the Nine Months ended September 30, 2016</v>
          </cell>
          <cell r="P22" t="str">
            <v>Volume for the Nine Months ended September 30, 2015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2016 and 2015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2016</v>
          </cell>
          <cell r="J23" t="str">
            <v>Actual customers for the Month of October 2015</v>
          </cell>
          <cell r="K23" t="str">
            <v>Average customers for the Ten Months ended October 31, 2016</v>
          </cell>
          <cell r="L23" t="str">
            <v>Average customers for the Ten Months ended October 31, 2015</v>
          </cell>
          <cell r="M23" t="str">
            <v>Volume for the Month of October 2016</v>
          </cell>
          <cell r="N23" t="str">
            <v>Volume for the Month of October 2015</v>
          </cell>
          <cell r="O23" t="str">
            <v>Volume for the Ten Months ended October 31, 2016</v>
          </cell>
          <cell r="P23" t="str">
            <v>Volume for the Ten Months ended October 31, 2015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2016 and 2015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2016</v>
          </cell>
          <cell r="J24" t="str">
            <v>Actual customers for the Month of November 2015</v>
          </cell>
          <cell r="K24" t="str">
            <v>Average customers for the Eleven Months ended November 30, 2016</v>
          </cell>
          <cell r="L24" t="str">
            <v>Average customers for the Eleven Months ended November 30, 2015</v>
          </cell>
          <cell r="M24" t="str">
            <v>Volume for the Month of November 2016</v>
          </cell>
          <cell r="N24" t="str">
            <v>Volume for the Month of November 2015</v>
          </cell>
          <cell r="O24" t="str">
            <v>Volume for the Eleven Months ended November 30, 2016</v>
          </cell>
          <cell r="P24" t="str">
            <v>Volume for the Eleven Months ended November 30, 2015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2016 and 2015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2016</v>
          </cell>
          <cell r="J25" t="str">
            <v>Actual customers for the Month of December 2015</v>
          </cell>
          <cell r="K25" t="str">
            <v>Average customers for the Twelve Months ended December 31, 2016</v>
          </cell>
          <cell r="L25" t="str">
            <v>Average customers for the Twelve Months ended December 31, 2015</v>
          </cell>
          <cell r="M25" t="str">
            <v>Volume for the Month of December 2016</v>
          </cell>
          <cell r="N25" t="str">
            <v>Volume for the Month of December 2015</v>
          </cell>
          <cell r="O25" t="str">
            <v>Volume for the Twelve Months ended December 31, 2016</v>
          </cell>
          <cell r="P25" t="str">
            <v>Volume for the Twelve Months ended December 31, 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G3" t="str">
            <v>For the Twelve Months ended December 31, 2016 and 2015</v>
          </cell>
        </row>
      </sheetData>
      <sheetData sheetId="6" refreshError="1"/>
      <sheetData sheetId="7" refreshError="1"/>
      <sheetData sheetId="8" refreshError="1"/>
      <sheetData sheetId="9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45604.5</v>
          </cell>
          <cell r="E5">
            <v>44906</v>
          </cell>
          <cell r="F5">
            <v>45269</v>
          </cell>
          <cell r="G5">
            <v>45430</v>
          </cell>
          <cell r="H5">
            <v>45572</v>
          </cell>
          <cell r="I5">
            <v>45374</v>
          </cell>
          <cell r="J5">
            <v>45272</v>
          </cell>
          <cell r="K5">
            <v>45295</v>
          </cell>
          <cell r="L5">
            <v>45354</v>
          </cell>
          <cell r="M5">
            <v>45496</v>
          </cell>
          <cell r="N5">
            <v>45780</v>
          </cell>
          <cell r="O5">
            <v>46415</v>
          </cell>
          <cell r="P5">
            <v>47091</v>
          </cell>
          <cell r="T5">
            <v>2</v>
          </cell>
          <cell r="U5" t="str">
            <v>Residential</v>
          </cell>
          <cell r="V5">
            <v>43285</v>
          </cell>
          <cell r="W5">
            <v>519418</v>
          </cell>
          <cell r="X5">
            <v>43161</v>
          </cell>
          <cell r="Y5">
            <v>43342</v>
          </cell>
          <cell r="Z5">
            <v>43453</v>
          </cell>
          <cell r="AA5">
            <v>43386</v>
          </cell>
          <cell r="AB5">
            <v>43045</v>
          </cell>
          <cell r="AC5">
            <v>42691</v>
          </cell>
          <cell r="AD5">
            <v>42650</v>
          </cell>
          <cell r="AE5">
            <v>42689</v>
          </cell>
          <cell r="AF5">
            <v>42997</v>
          </cell>
          <cell r="AG5">
            <v>43349</v>
          </cell>
          <cell r="AH5">
            <v>44105</v>
          </cell>
          <cell r="AI5">
            <v>44550</v>
          </cell>
        </row>
        <row r="6">
          <cell r="A6">
            <v>3</v>
          </cell>
          <cell r="B6" t="str">
            <v>Commercial</v>
          </cell>
          <cell r="D6">
            <v>3857</v>
          </cell>
          <cell r="E6">
            <v>3870</v>
          </cell>
          <cell r="F6">
            <v>3919</v>
          </cell>
          <cell r="G6">
            <v>3905</v>
          </cell>
          <cell r="H6">
            <v>3883</v>
          </cell>
          <cell r="I6">
            <v>3836</v>
          </cell>
          <cell r="J6">
            <v>3828</v>
          </cell>
          <cell r="K6">
            <v>3818</v>
          </cell>
          <cell r="L6">
            <v>3810</v>
          </cell>
          <cell r="M6">
            <v>3794</v>
          </cell>
          <cell r="N6">
            <v>3804</v>
          </cell>
          <cell r="O6">
            <v>3872</v>
          </cell>
          <cell r="P6">
            <v>3945</v>
          </cell>
          <cell r="T6">
            <v>3</v>
          </cell>
          <cell r="U6" t="str">
            <v>Commercial</v>
          </cell>
          <cell r="V6">
            <v>3768</v>
          </cell>
          <cell r="W6">
            <v>45218</v>
          </cell>
          <cell r="X6">
            <v>3783</v>
          </cell>
          <cell r="Y6">
            <v>3824</v>
          </cell>
          <cell r="Z6">
            <v>3843</v>
          </cell>
          <cell r="AA6">
            <v>3808</v>
          </cell>
          <cell r="AB6">
            <v>3743</v>
          </cell>
          <cell r="AC6">
            <v>3721</v>
          </cell>
          <cell r="AD6">
            <v>3716</v>
          </cell>
          <cell r="AE6">
            <v>3713</v>
          </cell>
          <cell r="AF6">
            <v>3716</v>
          </cell>
          <cell r="AG6">
            <v>3721</v>
          </cell>
          <cell r="AH6">
            <v>3785</v>
          </cell>
          <cell r="AI6">
            <v>3845</v>
          </cell>
        </row>
        <row r="7">
          <cell r="A7">
            <v>4</v>
          </cell>
          <cell r="B7" t="str">
            <v xml:space="preserve">Industrial </v>
          </cell>
          <cell r="D7">
            <v>80.666666666666671</v>
          </cell>
          <cell r="E7">
            <v>80</v>
          </cell>
          <cell r="F7">
            <v>80</v>
          </cell>
          <cell r="G7">
            <v>80</v>
          </cell>
          <cell r="H7">
            <v>79</v>
          </cell>
          <cell r="I7">
            <v>79</v>
          </cell>
          <cell r="J7">
            <v>78</v>
          </cell>
          <cell r="K7">
            <v>80</v>
          </cell>
          <cell r="L7">
            <v>80</v>
          </cell>
          <cell r="M7">
            <v>80</v>
          </cell>
          <cell r="N7">
            <v>81</v>
          </cell>
          <cell r="O7">
            <v>85</v>
          </cell>
          <cell r="P7">
            <v>86</v>
          </cell>
          <cell r="T7">
            <v>4</v>
          </cell>
          <cell r="U7" t="str">
            <v xml:space="preserve">Industrial </v>
          </cell>
          <cell r="V7">
            <v>77</v>
          </cell>
          <cell r="W7">
            <v>928</v>
          </cell>
          <cell r="X7">
            <v>75</v>
          </cell>
          <cell r="Y7">
            <v>75</v>
          </cell>
          <cell r="Z7">
            <v>75</v>
          </cell>
          <cell r="AA7">
            <v>75</v>
          </cell>
          <cell r="AB7">
            <v>76</v>
          </cell>
          <cell r="AC7">
            <v>76</v>
          </cell>
          <cell r="AD7">
            <v>76</v>
          </cell>
          <cell r="AE7">
            <v>78</v>
          </cell>
          <cell r="AF7">
            <v>80</v>
          </cell>
          <cell r="AG7">
            <v>80</v>
          </cell>
          <cell r="AH7">
            <v>82</v>
          </cell>
          <cell r="AI7">
            <v>80</v>
          </cell>
        </row>
        <row r="8">
          <cell r="A8">
            <v>5</v>
          </cell>
          <cell r="B8" t="str">
            <v>Other</v>
          </cell>
          <cell r="D8">
            <v>4.916666666666667</v>
          </cell>
          <cell r="E8">
            <v>3</v>
          </cell>
          <cell r="F8">
            <v>3</v>
          </cell>
          <cell r="G8">
            <v>6</v>
          </cell>
          <cell r="H8">
            <v>4</v>
          </cell>
          <cell r="I8">
            <v>5</v>
          </cell>
          <cell r="J8">
            <v>4</v>
          </cell>
          <cell r="K8">
            <v>5</v>
          </cell>
          <cell r="L8">
            <v>5</v>
          </cell>
          <cell r="M8">
            <v>7</v>
          </cell>
          <cell r="N8">
            <v>8</v>
          </cell>
          <cell r="O8">
            <v>4</v>
          </cell>
          <cell r="P8">
            <v>5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59</v>
          </cell>
          <cell r="X8">
            <v>7</v>
          </cell>
          <cell r="Y8">
            <v>6</v>
          </cell>
          <cell r="Z8">
            <v>6</v>
          </cell>
          <cell r="AA8">
            <v>5</v>
          </cell>
          <cell r="AB8">
            <v>6</v>
          </cell>
          <cell r="AC8">
            <v>6</v>
          </cell>
          <cell r="AD8">
            <v>5</v>
          </cell>
          <cell r="AE8">
            <v>3</v>
          </cell>
          <cell r="AF8">
            <v>4</v>
          </cell>
          <cell r="AG8">
            <v>3</v>
          </cell>
          <cell r="AH8">
            <v>4</v>
          </cell>
          <cell r="AI8">
            <v>4</v>
          </cell>
        </row>
        <row r="9">
          <cell r="A9">
            <v>6</v>
          </cell>
          <cell r="B9" t="str">
            <v>Total customers</v>
          </cell>
          <cell r="D9">
            <v>49547.083333333328</v>
          </cell>
          <cell r="E9">
            <v>48859</v>
          </cell>
          <cell r="F9">
            <v>49271</v>
          </cell>
          <cell r="G9">
            <v>49421</v>
          </cell>
          <cell r="H9">
            <v>49538</v>
          </cell>
          <cell r="I9">
            <v>49294</v>
          </cell>
          <cell r="J9">
            <v>49182</v>
          </cell>
          <cell r="K9">
            <v>49198</v>
          </cell>
          <cell r="L9">
            <v>49249</v>
          </cell>
          <cell r="M9">
            <v>49377</v>
          </cell>
          <cell r="N9">
            <v>49673</v>
          </cell>
          <cell r="O9">
            <v>50376</v>
          </cell>
          <cell r="P9">
            <v>51127</v>
          </cell>
          <cell r="T9">
            <v>6</v>
          </cell>
          <cell r="U9" t="str">
            <v>Total customers</v>
          </cell>
          <cell r="V9">
            <v>47135</v>
          </cell>
          <cell r="W9">
            <v>565623</v>
          </cell>
          <cell r="X9">
            <v>47026</v>
          </cell>
          <cell r="Y9">
            <v>47247</v>
          </cell>
          <cell r="Z9">
            <v>47377</v>
          </cell>
          <cell r="AA9">
            <v>47274</v>
          </cell>
          <cell r="AB9">
            <v>46870</v>
          </cell>
          <cell r="AC9">
            <v>46494</v>
          </cell>
          <cell r="AD9">
            <v>46447</v>
          </cell>
          <cell r="AE9">
            <v>46483</v>
          </cell>
          <cell r="AF9">
            <v>46797</v>
          </cell>
          <cell r="AG9">
            <v>47153</v>
          </cell>
          <cell r="AH9">
            <v>47976</v>
          </cell>
          <cell r="AI9">
            <v>48479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2358386</v>
          </cell>
          <cell r="E12">
            <v>366424</v>
          </cell>
          <cell r="F12">
            <v>514106</v>
          </cell>
          <cell r="G12">
            <v>367283</v>
          </cell>
          <cell r="H12">
            <v>242332</v>
          </cell>
          <cell r="I12">
            <v>138295</v>
          </cell>
          <cell r="J12">
            <v>66566</v>
          </cell>
          <cell r="K12">
            <v>44868</v>
          </cell>
          <cell r="L12">
            <v>37570</v>
          </cell>
          <cell r="M12">
            <v>42463</v>
          </cell>
          <cell r="N12">
            <v>50956</v>
          </cell>
          <cell r="O12">
            <v>139571</v>
          </cell>
          <cell r="P12">
            <v>347952</v>
          </cell>
          <cell r="T12">
            <v>9</v>
          </cell>
          <cell r="U12" t="str">
            <v>Residential</v>
          </cell>
          <cell r="W12">
            <v>2689939</v>
          </cell>
          <cell r="X12">
            <v>509525</v>
          </cell>
          <cell r="Y12">
            <v>609347</v>
          </cell>
          <cell r="Z12">
            <v>562513</v>
          </cell>
          <cell r="AA12">
            <v>280456</v>
          </cell>
          <cell r="AB12">
            <v>105415</v>
          </cell>
          <cell r="AC12">
            <v>49492</v>
          </cell>
          <cell r="AD12">
            <v>43773</v>
          </cell>
          <cell r="AE12">
            <v>40290</v>
          </cell>
          <cell r="AF12">
            <v>39466</v>
          </cell>
          <cell r="AG12">
            <v>71236</v>
          </cell>
          <cell r="AH12">
            <v>132251</v>
          </cell>
          <cell r="AI12">
            <v>246175</v>
          </cell>
        </row>
        <row r="13">
          <cell r="A13">
            <v>10</v>
          </cell>
          <cell r="B13" t="str">
            <v>Commercial</v>
          </cell>
          <cell r="D13">
            <v>2004885</v>
          </cell>
          <cell r="E13">
            <v>299165</v>
          </cell>
          <cell r="F13">
            <v>333452</v>
          </cell>
          <cell r="G13">
            <v>248328</v>
          </cell>
          <cell r="H13">
            <v>167140</v>
          </cell>
          <cell r="I13">
            <v>117328</v>
          </cell>
          <cell r="J13">
            <v>89614</v>
          </cell>
          <cell r="K13">
            <v>72369</v>
          </cell>
          <cell r="L13">
            <v>72918</v>
          </cell>
          <cell r="M13">
            <v>79628</v>
          </cell>
          <cell r="N13">
            <v>96934</v>
          </cell>
          <cell r="O13">
            <v>143986</v>
          </cell>
          <cell r="P13">
            <v>284023</v>
          </cell>
          <cell r="T13">
            <v>10</v>
          </cell>
          <cell r="U13" t="str">
            <v>Commercial</v>
          </cell>
          <cell r="W13">
            <v>2176818</v>
          </cell>
          <cell r="X13">
            <v>357360</v>
          </cell>
          <cell r="Y13">
            <v>420991</v>
          </cell>
          <cell r="Z13">
            <v>366653</v>
          </cell>
          <cell r="AA13">
            <v>201717</v>
          </cell>
          <cell r="AB13">
            <v>96219</v>
          </cell>
          <cell r="AC13">
            <v>75936</v>
          </cell>
          <cell r="AD13">
            <v>75151</v>
          </cell>
          <cell r="AE13">
            <v>68957</v>
          </cell>
          <cell r="AF13">
            <v>72299</v>
          </cell>
          <cell r="AG13">
            <v>108548</v>
          </cell>
          <cell r="AH13">
            <v>131520</v>
          </cell>
          <cell r="AI13">
            <v>201467</v>
          </cell>
        </row>
        <row r="14">
          <cell r="A14">
            <v>11</v>
          </cell>
          <cell r="B14" t="str">
            <v xml:space="preserve">Industrial </v>
          </cell>
          <cell r="D14">
            <v>3036274</v>
          </cell>
          <cell r="E14">
            <v>282310</v>
          </cell>
          <cell r="F14">
            <v>285180</v>
          </cell>
          <cell r="G14">
            <v>290010</v>
          </cell>
          <cell r="H14">
            <v>242188</v>
          </cell>
          <cell r="I14">
            <v>233434</v>
          </cell>
          <cell r="J14">
            <v>234367</v>
          </cell>
          <cell r="K14">
            <v>199754</v>
          </cell>
          <cell r="L14">
            <v>219518</v>
          </cell>
          <cell r="M14">
            <v>250465</v>
          </cell>
          <cell r="N14">
            <v>267829</v>
          </cell>
          <cell r="O14">
            <v>237748</v>
          </cell>
          <cell r="P14">
            <v>293471</v>
          </cell>
          <cell r="T14">
            <v>11</v>
          </cell>
          <cell r="U14" t="str">
            <v xml:space="preserve">Industrial </v>
          </cell>
          <cell r="W14">
            <v>2853266</v>
          </cell>
          <cell r="X14">
            <v>267966</v>
          </cell>
          <cell r="Y14">
            <v>264042</v>
          </cell>
          <cell r="Z14">
            <v>275156</v>
          </cell>
          <cell r="AA14">
            <v>242770</v>
          </cell>
          <cell r="AB14">
            <v>203506</v>
          </cell>
          <cell r="AC14">
            <v>200999</v>
          </cell>
          <cell r="AD14">
            <v>208039</v>
          </cell>
          <cell r="AE14">
            <v>189039</v>
          </cell>
          <cell r="AF14">
            <v>244437</v>
          </cell>
          <cell r="AG14">
            <v>254497</v>
          </cell>
          <cell r="AH14">
            <v>222524</v>
          </cell>
          <cell r="AI14">
            <v>280291</v>
          </cell>
        </row>
        <row r="15">
          <cell r="A15">
            <v>12</v>
          </cell>
          <cell r="B15" t="str">
            <v>Other</v>
          </cell>
          <cell r="D15">
            <v>88045</v>
          </cell>
          <cell r="E15">
            <v>3618</v>
          </cell>
          <cell r="F15">
            <v>3637</v>
          </cell>
          <cell r="G15">
            <v>5526</v>
          </cell>
          <cell r="H15">
            <v>6261</v>
          </cell>
          <cell r="I15">
            <v>8806</v>
          </cell>
          <cell r="J15">
            <v>10183</v>
          </cell>
          <cell r="K15">
            <v>9695</v>
          </cell>
          <cell r="L15">
            <v>10655</v>
          </cell>
          <cell r="M15">
            <v>6372</v>
          </cell>
          <cell r="N15">
            <v>9271</v>
          </cell>
          <cell r="O15">
            <v>7865</v>
          </cell>
          <cell r="P15">
            <v>6156</v>
          </cell>
          <cell r="T15">
            <v>12</v>
          </cell>
          <cell r="U15" t="str">
            <v xml:space="preserve">Interruptible </v>
          </cell>
          <cell r="W15">
            <v>78085</v>
          </cell>
          <cell r="X15">
            <v>3035</v>
          </cell>
          <cell r="Y15">
            <v>2816</v>
          </cell>
          <cell r="Z15">
            <v>3877</v>
          </cell>
          <cell r="AA15">
            <v>4625</v>
          </cell>
          <cell r="AB15">
            <v>3611</v>
          </cell>
          <cell r="AC15">
            <v>8837</v>
          </cell>
          <cell r="AD15">
            <v>7561</v>
          </cell>
          <cell r="AE15">
            <v>11273</v>
          </cell>
          <cell r="AF15">
            <v>8189</v>
          </cell>
          <cell r="AG15">
            <v>11518</v>
          </cell>
          <cell r="AH15">
            <v>6780</v>
          </cell>
          <cell r="AI15">
            <v>5963</v>
          </cell>
        </row>
        <row r="16">
          <cell r="A16">
            <v>13</v>
          </cell>
          <cell r="B16" t="str">
            <v>Total Volume</v>
          </cell>
          <cell r="D16">
            <v>7487590</v>
          </cell>
          <cell r="E16">
            <v>951517</v>
          </cell>
          <cell r="F16">
            <v>1136375</v>
          </cell>
          <cell r="G16">
            <v>911147</v>
          </cell>
          <cell r="H16">
            <v>657921</v>
          </cell>
          <cell r="I16">
            <v>497863</v>
          </cell>
          <cell r="J16">
            <v>400730</v>
          </cell>
          <cell r="K16">
            <v>326686</v>
          </cell>
          <cell r="L16">
            <v>340661</v>
          </cell>
          <cell r="M16">
            <v>378928</v>
          </cell>
          <cell r="N16">
            <v>424990</v>
          </cell>
          <cell r="O16">
            <v>529170</v>
          </cell>
          <cell r="P16">
            <v>931602</v>
          </cell>
          <cell r="T16">
            <v>13</v>
          </cell>
          <cell r="U16" t="str">
            <v>Total Deliveries</v>
          </cell>
          <cell r="W16">
            <v>7798108</v>
          </cell>
          <cell r="X16">
            <v>1137886</v>
          </cell>
          <cell r="Y16">
            <v>1297196</v>
          </cell>
          <cell r="Z16">
            <v>1208199</v>
          </cell>
          <cell r="AA16">
            <v>729568</v>
          </cell>
          <cell r="AB16">
            <v>408751</v>
          </cell>
          <cell r="AC16">
            <v>335264</v>
          </cell>
          <cell r="AD16">
            <v>334524</v>
          </cell>
          <cell r="AE16">
            <v>309559</v>
          </cell>
          <cell r="AF16">
            <v>364391</v>
          </cell>
          <cell r="AG16">
            <v>445799</v>
          </cell>
          <cell r="AH16">
            <v>493075</v>
          </cell>
          <cell r="AI16">
            <v>733896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2488792</v>
          </cell>
          <cell r="E21">
            <v>388267</v>
          </cell>
          <cell r="F21">
            <v>543523</v>
          </cell>
          <cell r="G21">
            <v>387131</v>
          </cell>
          <cell r="H21">
            <v>255888</v>
          </cell>
          <cell r="I21">
            <v>145380</v>
          </cell>
          <cell r="J21">
            <v>70033</v>
          </cell>
          <cell r="K21">
            <v>47410</v>
          </cell>
          <cell r="L21">
            <v>39659</v>
          </cell>
          <cell r="M21">
            <v>44765</v>
          </cell>
          <cell r="N21">
            <v>53638</v>
          </cell>
          <cell r="O21">
            <v>146865</v>
          </cell>
          <cell r="P21">
            <v>366233</v>
          </cell>
          <cell r="T21">
            <v>18</v>
          </cell>
          <cell r="U21" t="str">
            <v>Residential</v>
          </cell>
          <cell r="W21">
            <v>2854245</v>
          </cell>
          <cell r="X21">
            <v>541039</v>
          </cell>
          <cell r="Y21">
            <v>648595</v>
          </cell>
          <cell r="Z21">
            <v>598272</v>
          </cell>
          <cell r="AA21">
            <v>296846</v>
          </cell>
          <cell r="AB21">
            <v>111622</v>
          </cell>
          <cell r="AC21">
            <v>52611</v>
          </cell>
          <cell r="AD21">
            <v>46328</v>
          </cell>
          <cell r="AE21">
            <v>42568</v>
          </cell>
          <cell r="AF21">
            <v>41639</v>
          </cell>
          <cell r="AG21">
            <v>75477</v>
          </cell>
          <cell r="AH21">
            <v>139464</v>
          </cell>
          <cell r="AI21">
            <v>259784</v>
          </cell>
        </row>
        <row r="22">
          <cell r="A22">
            <v>19</v>
          </cell>
          <cell r="B22" t="str">
            <v>Commercial</v>
          </cell>
          <cell r="D22">
            <v>2115267</v>
          </cell>
          <cell r="E22">
            <v>316998</v>
          </cell>
          <cell r="F22">
            <v>352532</v>
          </cell>
          <cell r="G22">
            <v>261748</v>
          </cell>
          <cell r="H22">
            <v>176490</v>
          </cell>
          <cell r="I22">
            <v>123339</v>
          </cell>
          <cell r="J22">
            <v>94281</v>
          </cell>
          <cell r="K22">
            <v>76469</v>
          </cell>
          <cell r="L22">
            <v>76972</v>
          </cell>
          <cell r="M22">
            <v>83945</v>
          </cell>
          <cell r="N22">
            <v>102036</v>
          </cell>
          <cell r="O22">
            <v>151511</v>
          </cell>
          <cell r="P22">
            <v>298946</v>
          </cell>
          <cell r="T22">
            <v>19</v>
          </cell>
          <cell r="U22" t="str">
            <v>Commercial</v>
          </cell>
          <cell r="W22">
            <v>2308624</v>
          </cell>
          <cell r="X22">
            <v>379463</v>
          </cell>
          <cell r="Y22">
            <v>448107</v>
          </cell>
          <cell r="Z22">
            <v>389961</v>
          </cell>
          <cell r="AA22">
            <v>213505</v>
          </cell>
          <cell r="AB22">
            <v>101884</v>
          </cell>
          <cell r="AC22">
            <v>80722</v>
          </cell>
          <cell r="AD22">
            <v>79537</v>
          </cell>
          <cell r="AE22">
            <v>72857</v>
          </cell>
          <cell r="AF22">
            <v>76281</v>
          </cell>
          <cell r="AG22">
            <v>115010</v>
          </cell>
          <cell r="AH22">
            <v>138693</v>
          </cell>
          <cell r="AI22">
            <v>212604</v>
          </cell>
        </row>
        <row r="23">
          <cell r="A23">
            <v>20</v>
          </cell>
          <cell r="B23" t="str">
            <v xml:space="preserve">Industrial </v>
          </cell>
          <cell r="D23">
            <v>3201844</v>
          </cell>
          <cell r="E23">
            <v>299138</v>
          </cell>
          <cell r="F23">
            <v>301498</v>
          </cell>
          <cell r="G23">
            <v>305682</v>
          </cell>
          <cell r="H23">
            <v>255736</v>
          </cell>
          <cell r="I23">
            <v>245393</v>
          </cell>
          <cell r="J23">
            <v>246573</v>
          </cell>
          <cell r="K23">
            <v>211070</v>
          </cell>
          <cell r="L23">
            <v>231721</v>
          </cell>
          <cell r="M23">
            <v>264045</v>
          </cell>
          <cell r="N23">
            <v>281925</v>
          </cell>
          <cell r="O23">
            <v>250173</v>
          </cell>
          <cell r="P23">
            <v>308890</v>
          </cell>
          <cell r="T23">
            <v>20</v>
          </cell>
          <cell r="U23" t="str">
            <v xml:space="preserve">Industrial </v>
          </cell>
          <cell r="W23">
            <v>3022249</v>
          </cell>
          <cell r="X23">
            <v>284540</v>
          </cell>
          <cell r="Y23">
            <v>281049</v>
          </cell>
          <cell r="Z23">
            <v>292648</v>
          </cell>
          <cell r="AA23">
            <v>256957</v>
          </cell>
          <cell r="AB23">
            <v>215488</v>
          </cell>
          <cell r="AC23">
            <v>213668</v>
          </cell>
          <cell r="AD23">
            <v>220180</v>
          </cell>
          <cell r="AE23">
            <v>199729</v>
          </cell>
          <cell r="AF23">
            <v>257898</v>
          </cell>
          <cell r="AG23">
            <v>269647</v>
          </cell>
          <cell r="AH23">
            <v>234660</v>
          </cell>
          <cell r="AI23">
            <v>295785</v>
          </cell>
        </row>
        <row r="24">
          <cell r="A24">
            <v>21</v>
          </cell>
          <cell r="B24" t="str">
            <v>Other</v>
          </cell>
          <cell r="D24">
            <v>92807</v>
          </cell>
          <cell r="E24">
            <v>3834</v>
          </cell>
          <cell r="F24">
            <v>3845</v>
          </cell>
          <cell r="G24">
            <v>5825</v>
          </cell>
          <cell r="H24">
            <v>6611</v>
          </cell>
          <cell r="I24">
            <v>9257</v>
          </cell>
          <cell r="J24">
            <v>10713</v>
          </cell>
          <cell r="K24">
            <v>10244</v>
          </cell>
          <cell r="L24">
            <v>11247</v>
          </cell>
          <cell r="M24">
            <v>6717</v>
          </cell>
          <cell r="N24">
            <v>9759</v>
          </cell>
          <cell r="O24">
            <v>8276</v>
          </cell>
          <cell r="P24">
            <v>6479</v>
          </cell>
          <cell r="T24">
            <v>21</v>
          </cell>
          <cell r="U24" t="str">
            <v xml:space="preserve">Interruptible </v>
          </cell>
          <cell r="W24">
            <v>82655</v>
          </cell>
          <cell r="X24">
            <v>3223</v>
          </cell>
          <cell r="Y24">
            <v>2997</v>
          </cell>
          <cell r="Z24">
            <v>4123</v>
          </cell>
          <cell r="AA24">
            <v>4895</v>
          </cell>
          <cell r="AB24">
            <v>3824</v>
          </cell>
          <cell r="AC24">
            <v>9394</v>
          </cell>
          <cell r="AD24">
            <v>8002</v>
          </cell>
          <cell r="AE24">
            <v>11910</v>
          </cell>
          <cell r="AF24">
            <v>8640</v>
          </cell>
          <cell r="AG24">
            <v>12204</v>
          </cell>
          <cell r="AH24">
            <v>7150</v>
          </cell>
          <cell r="AI24">
            <v>6293</v>
          </cell>
        </row>
        <row r="25">
          <cell r="A25">
            <v>22</v>
          </cell>
          <cell r="B25" t="str">
            <v>Total Volume</v>
          </cell>
          <cell r="D25">
            <v>7898710</v>
          </cell>
          <cell r="E25">
            <v>1008237</v>
          </cell>
          <cell r="F25">
            <v>1201398</v>
          </cell>
          <cell r="G25">
            <v>960386</v>
          </cell>
          <cell r="H25">
            <v>694725</v>
          </cell>
          <cell r="I25">
            <v>523369</v>
          </cell>
          <cell r="J25">
            <v>421600</v>
          </cell>
          <cell r="K25">
            <v>345193</v>
          </cell>
          <cell r="L25">
            <v>359599</v>
          </cell>
          <cell r="M25">
            <v>399472</v>
          </cell>
          <cell r="N25">
            <v>447358</v>
          </cell>
          <cell r="O25">
            <v>556825</v>
          </cell>
          <cell r="P25">
            <v>980548</v>
          </cell>
          <cell r="T25">
            <v>22</v>
          </cell>
          <cell r="U25" t="str">
            <v>Total Deliveries</v>
          </cell>
          <cell r="W25">
            <v>8267773</v>
          </cell>
          <cell r="X25">
            <v>1208265</v>
          </cell>
          <cell r="Y25">
            <v>1380748</v>
          </cell>
          <cell r="Z25">
            <v>1285004</v>
          </cell>
          <cell r="AA25">
            <v>772203</v>
          </cell>
          <cell r="AB25">
            <v>432818</v>
          </cell>
          <cell r="AC25">
            <v>356395</v>
          </cell>
          <cell r="AD25">
            <v>354047</v>
          </cell>
          <cell r="AE25">
            <v>327064</v>
          </cell>
          <cell r="AF25">
            <v>384458</v>
          </cell>
          <cell r="AG25">
            <v>472338</v>
          </cell>
          <cell r="AH25">
            <v>519967</v>
          </cell>
          <cell r="AI25">
            <v>774466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47706</v>
          </cell>
          <cell r="F28">
            <v>47833</v>
          </cell>
          <cell r="G28">
            <v>47828</v>
          </cell>
          <cell r="H28">
            <v>47760</v>
          </cell>
          <cell r="I28">
            <v>47827</v>
          </cell>
          <cell r="J28">
            <v>47875</v>
          </cell>
          <cell r="K28">
            <v>48240</v>
          </cell>
          <cell r="L28">
            <v>48150</v>
          </cell>
          <cell r="M28">
            <v>48253</v>
          </cell>
          <cell r="N28">
            <v>48415</v>
          </cell>
          <cell r="O28">
            <v>48828</v>
          </cell>
          <cell r="P28">
            <v>49251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1116645</v>
          </cell>
          <cell r="F29">
            <v>1220833</v>
          </cell>
          <cell r="G29">
            <v>1026204</v>
          </cell>
          <cell r="H29">
            <v>710111</v>
          </cell>
          <cell r="I29">
            <v>436053</v>
          </cell>
          <cell r="J29">
            <v>349956</v>
          </cell>
          <cell r="K29">
            <v>315364</v>
          </cell>
          <cell r="L29">
            <v>305744</v>
          </cell>
          <cell r="M29">
            <v>355227</v>
          </cell>
          <cell r="N29">
            <v>457578</v>
          </cell>
          <cell r="O29">
            <v>602959</v>
          </cell>
          <cell r="P29">
            <v>955627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1155727.575</v>
          </cell>
          <cell r="F30">
            <v>1263562.1549999998</v>
          </cell>
          <cell r="G30">
            <v>1062121.1399999999</v>
          </cell>
          <cell r="H30">
            <v>734964.88499999989</v>
          </cell>
          <cell r="I30">
            <v>451314.85499999998</v>
          </cell>
          <cell r="J30">
            <v>362204.45999999996</v>
          </cell>
          <cell r="K30">
            <v>326401.74</v>
          </cell>
          <cell r="L30">
            <v>316445.03999999998</v>
          </cell>
          <cell r="M30">
            <v>367659.94499999995</v>
          </cell>
          <cell r="N30">
            <v>473593.23</v>
          </cell>
          <cell r="O30">
            <v>624062.56499999994</v>
          </cell>
          <cell r="P30">
            <v>989073.94499999995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44906</v>
          </cell>
          <cell r="F34">
            <v>45088</v>
          </cell>
          <cell r="G34">
            <v>45202</v>
          </cell>
          <cell r="H34">
            <v>45294</v>
          </cell>
          <cell r="I34">
            <v>45310</v>
          </cell>
          <cell r="J34">
            <v>45304</v>
          </cell>
          <cell r="K34">
            <v>45303</v>
          </cell>
          <cell r="L34">
            <v>45309</v>
          </cell>
          <cell r="M34">
            <v>45330</v>
          </cell>
          <cell r="N34">
            <v>45375</v>
          </cell>
          <cell r="O34">
            <v>45469</v>
          </cell>
          <cell r="P34">
            <v>45605</v>
          </cell>
          <cell r="T34">
            <v>31</v>
          </cell>
          <cell r="U34" t="str">
            <v>Residential</v>
          </cell>
          <cell r="X34">
            <v>43161</v>
          </cell>
          <cell r="Y34">
            <v>43252</v>
          </cell>
          <cell r="Z34">
            <v>43319</v>
          </cell>
          <cell r="AA34">
            <v>43336</v>
          </cell>
          <cell r="AB34">
            <v>43277</v>
          </cell>
          <cell r="AC34">
            <v>43180</v>
          </cell>
          <cell r="AD34">
            <v>43104</v>
          </cell>
          <cell r="AE34">
            <v>43052</v>
          </cell>
          <cell r="AF34">
            <v>43046</v>
          </cell>
          <cell r="AG34">
            <v>43076</v>
          </cell>
          <cell r="AH34">
            <v>43170</v>
          </cell>
          <cell r="AI34">
            <v>43285</v>
          </cell>
        </row>
        <row r="35">
          <cell r="A35">
            <v>32</v>
          </cell>
          <cell r="B35" t="str">
            <v>Commercial</v>
          </cell>
          <cell r="E35">
            <v>3870</v>
          </cell>
          <cell r="F35">
            <v>3895</v>
          </cell>
          <cell r="G35">
            <v>3898</v>
          </cell>
          <cell r="H35">
            <v>3894</v>
          </cell>
          <cell r="I35">
            <v>3883</v>
          </cell>
          <cell r="J35">
            <v>3874</v>
          </cell>
          <cell r="K35">
            <v>3866</v>
          </cell>
          <cell r="L35">
            <v>3859</v>
          </cell>
          <cell r="M35">
            <v>3851</v>
          </cell>
          <cell r="N35">
            <v>3847</v>
          </cell>
          <cell r="O35">
            <v>3849</v>
          </cell>
          <cell r="P35">
            <v>3857</v>
          </cell>
          <cell r="T35">
            <v>32</v>
          </cell>
          <cell r="U35" t="str">
            <v>Commercial</v>
          </cell>
          <cell r="X35">
            <v>3783</v>
          </cell>
          <cell r="Y35">
            <v>3804</v>
          </cell>
          <cell r="Z35">
            <v>3817</v>
          </cell>
          <cell r="AA35">
            <v>3815</v>
          </cell>
          <cell r="AB35">
            <v>3800</v>
          </cell>
          <cell r="AC35">
            <v>3787</v>
          </cell>
          <cell r="AD35">
            <v>3777</v>
          </cell>
          <cell r="AE35">
            <v>3769</v>
          </cell>
          <cell r="AF35">
            <v>3763</v>
          </cell>
          <cell r="AG35">
            <v>3759</v>
          </cell>
          <cell r="AH35">
            <v>3761</v>
          </cell>
          <cell r="AI35">
            <v>3768</v>
          </cell>
        </row>
        <row r="36">
          <cell r="A36">
            <v>33</v>
          </cell>
          <cell r="B36" t="str">
            <v xml:space="preserve">Industrial </v>
          </cell>
          <cell r="E36">
            <v>80</v>
          </cell>
          <cell r="F36">
            <v>80</v>
          </cell>
          <cell r="G36">
            <v>80</v>
          </cell>
          <cell r="H36">
            <v>80</v>
          </cell>
          <cell r="I36">
            <v>80</v>
          </cell>
          <cell r="J36">
            <v>79</v>
          </cell>
          <cell r="K36">
            <v>79</v>
          </cell>
          <cell r="L36">
            <v>80</v>
          </cell>
          <cell r="M36">
            <v>80</v>
          </cell>
          <cell r="N36">
            <v>80</v>
          </cell>
          <cell r="O36">
            <v>80</v>
          </cell>
          <cell r="P36">
            <v>81</v>
          </cell>
          <cell r="T36">
            <v>33</v>
          </cell>
          <cell r="U36" t="str">
            <v xml:space="preserve">Industrial </v>
          </cell>
          <cell r="X36">
            <v>75</v>
          </cell>
          <cell r="Y36">
            <v>75</v>
          </cell>
          <cell r="Z36">
            <v>75</v>
          </cell>
          <cell r="AA36">
            <v>75</v>
          </cell>
          <cell r="AB36">
            <v>75</v>
          </cell>
          <cell r="AC36">
            <v>75</v>
          </cell>
          <cell r="AD36">
            <v>75</v>
          </cell>
          <cell r="AE36">
            <v>76</v>
          </cell>
          <cell r="AF36">
            <v>76</v>
          </cell>
          <cell r="AG36">
            <v>77</v>
          </cell>
          <cell r="AH36">
            <v>77</v>
          </cell>
          <cell r="AI36">
            <v>77</v>
          </cell>
        </row>
        <row r="37">
          <cell r="A37">
            <v>34</v>
          </cell>
          <cell r="B37" t="str">
            <v>Other</v>
          </cell>
          <cell r="E37">
            <v>3</v>
          </cell>
          <cell r="F37">
            <v>3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X37">
            <v>7</v>
          </cell>
          <cell r="Y37">
            <v>7</v>
          </cell>
          <cell r="Z37">
            <v>6</v>
          </cell>
          <cell r="AA37">
            <v>6</v>
          </cell>
          <cell r="AB37">
            <v>6</v>
          </cell>
          <cell r="AC37">
            <v>6</v>
          </cell>
          <cell r="AD37">
            <v>6</v>
          </cell>
          <cell r="AE37">
            <v>6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48859</v>
          </cell>
          <cell r="F38">
            <v>49066</v>
          </cell>
          <cell r="G38">
            <v>49184</v>
          </cell>
          <cell r="H38">
            <v>49272</v>
          </cell>
          <cell r="I38">
            <v>49277</v>
          </cell>
          <cell r="J38">
            <v>49261</v>
          </cell>
          <cell r="K38">
            <v>49252</v>
          </cell>
          <cell r="L38">
            <v>49252</v>
          </cell>
          <cell r="M38">
            <v>49266</v>
          </cell>
          <cell r="N38">
            <v>49307</v>
          </cell>
          <cell r="O38">
            <v>49403</v>
          </cell>
          <cell r="P38">
            <v>49548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47026</v>
          </cell>
          <cell r="Y38">
            <v>47138</v>
          </cell>
          <cell r="Z38">
            <v>47217</v>
          </cell>
          <cell r="AA38">
            <v>47232</v>
          </cell>
          <cell r="AB38">
            <v>47158</v>
          </cell>
          <cell r="AC38">
            <v>47048</v>
          </cell>
          <cell r="AD38">
            <v>46962</v>
          </cell>
          <cell r="AE38">
            <v>46903</v>
          </cell>
          <cell r="AF38">
            <v>46890</v>
          </cell>
          <cell r="AG38">
            <v>46917</v>
          </cell>
          <cell r="AH38">
            <v>47013</v>
          </cell>
          <cell r="AI38">
            <v>47135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366424</v>
          </cell>
          <cell r="F41">
            <v>880530</v>
          </cell>
          <cell r="G41">
            <v>1247813</v>
          </cell>
          <cell r="H41">
            <v>1490145</v>
          </cell>
          <cell r="I41">
            <v>1628440</v>
          </cell>
          <cell r="J41">
            <v>1695006</v>
          </cell>
          <cell r="K41">
            <v>1739874</v>
          </cell>
          <cell r="L41">
            <v>1777444</v>
          </cell>
          <cell r="M41">
            <v>1819907</v>
          </cell>
          <cell r="N41">
            <v>1870863</v>
          </cell>
          <cell r="O41">
            <v>2010434</v>
          </cell>
          <cell r="P41">
            <v>2358386</v>
          </cell>
          <cell r="T41">
            <v>38</v>
          </cell>
          <cell r="U41" t="str">
            <v>Residential</v>
          </cell>
          <cell r="X41">
            <v>509525</v>
          </cell>
          <cell r="Y41">
            <v>1118872</v>
          </cell>
          <cell r="Z41">
            <v>1681385</v>
          </cell>
          <cell r="AA41">
            <v>1961841</v>
          </cell>
          <cell r="AB41">
            <v>2067256</v>
          </cell>
          <cell r="AC41">
            <v>2116748</v>
          </cell>
          <cell r="AD41">
            <v>2160521</v>
          </cell>
          <cell r="AE41">
            <v>2200811</v>
          </cell>
          <cell r="AF41">
            <v>2240277</v>
          </cell>
          <cell r="AG41">
            <v>2311513</v>
          </cell>
          <cell r="AH41">
            <v>2443764</v>
          </cell>
          <cell r="AI41">
            <v>2689939</v>
          </cell>
        </row>
        <row r="42">
          <cell r="A42">
            <v>39</v>
          </cell>
          <cell r="B42" t="str">
            <v>Commercial</v>
          </cell>
          <cell r="E42">
            <v>299165</v>
          </cell>
          <cell r="F42">
            <v>632617</v>
          </cell>
          <cell r="G42">
            <v>880945</v>
          </cell>
          <cell r="H42">
            <v>1048085</v>
          </cell>
          <cell r="I42">
            <v>1165413</v>
          </cell>
          <cell r="J42">
            <v>1255027</v>
          </cell>
          <cell r="K42">
            <v>1327396</v>
          </cell>
          <cell r="L42">
            <v>1400314</v>
          </cell>
          <cell r="M42">
            <v>1479942</v>
          </cell>
          <cell r="N42">
            <v>1576876</v>
          </cell>
          <cell r="O42">
            <v>1720862</v>
          </cell>
          <cell r="P42">
            <v>2004885</v>
          </cell>
          <cell r="T42">
            <v>39</v>
          </cell>
          <cell r="U42" t="str">
            <v>Commercial</v>
          </cell>
          <cell r="X42">
            <v>357360</v>
          </cell>
          <cell r="Y42">
            <v>778351</v>
          </cell>
          <cell r="Z42">
            <v>1145004</v>
          </cell>
          <cell r="AA42">
            <v>1346721</v>
          </cell>
          <cell r="AB42">
            <v>1442940</v>
          </cell>
          <cell r="AC42">
            <v>1518876</v>
          </cell>
          <cell r="AD42">
            <v>1594027</v>
          </cell>
          <cell r="AE42">
            <v>1662984</v>
          </cell>
          <cell r="AF42">
            <v>1735283</v>
          </cell>
          <cell r="AG42">
            <v>1843831</v>
          </cell>
          <cell r="AH42">
            <v>1975351</v>
          </cell>
          <cell r="AI42">
            <v>2176818</v>
          </cell>
        </row>
        <row r="43">
          <cell r="A43">
            <v>40</v>
          </cell>
          <cell r="B43" t="str">
            <v xml:space="preserve">Industrial </v>
          </cell>
          <cell r="E43">
            <v>282310</v>
          </cell>
          <cell r="F43">
            <v>567490</v>
          </cell>
          <cell r="G43">
            <v>857500</v>
          </cell>
          <cell r="H43">
            <v>1099688</v>
          </cell>
          <cell r="I43">
            <v>1333122</v>
          </cell>
          <cell r="J43">
            <v>1567489</v>
          </cell>
          <cell r="K43">
            <v>1767243</v>
          </cell>
          <cell r="L43">
            <v>1986761</v>
          </cell>
          <cell r="M43">
            <v>2237226</v>
          </cell>
          <cell r="N43">
            <v>2505055</v>
          </cell>
          <cell r="O43">
            <v>2742803</v>
          </cell>
          <cell r="P43">
            <v>3036274</v>
          </cell>
          <cell r="T43">
            <v>40</v>
          </cell>
          <cell r="U43" t="str">
            <v xml:space="preserve">Industrial </v>
          </cell>
          <cell r="X43">
            <v>267966</v>
          </cell>
          <cell r="Y43">
            <v>532008</v>
          </cell>
          <cell r="Z43">
            <v>807164</v>
          </cell>
          <cell r="AA43">
            <v>1049934</v>
          </cell>
          <cell r="AB43">
            <v>1253440</v>
          </cell>
          <cell r="AC43">
            <v>1454439</v>
          </cell>
          <cell r="AD43">
            <v>1662478</v>
          </cell>
          <cell r="AE43">
            <v>1851517</v>
          </cell>
          <cell r="AF43">
            <v>2095954</v>
          </cell>
          <cell r="AG43">
            <v>2350451</v>
          </cell>
          <cell r="AH43">
            <v>2572975</v>
          </cell>
          <cell r="AI43">
            <v>2853266</v>
          </cell>
        </row>
        <row r="44">
          <cell r="A44">
            <v>41</v>
          </cell>
          <cell r="B44" t="str">
            <v>Other</v>
          </cell>
          <cell r="E44">
            <v>3618</v>
          </cell>
          <cell r="F44">
            <v>7255</v>
          </cell>
          <cell r="G44">
            <v>12781</v>
          </cell>
          <cell r="H44">
            <v>19042</v>
          </cell>
          <cell r="I44">
            <v>27848</v>
          </cell>
          <cell r="J44">
            <v>38031</v>
          </cell>
          <cell r="K44">
            <v>47726</v>
          </cell>
          <cell r="L44">
            <v>58381</v>
          </cell>
          <cell r="M44">
            <v>64753</v>
          </cell>
          <cell r="N44">
            <v>74024</v>
          </cell>
          <cell r="O44">
            <v>81889</v>
          </cell>
          <cell r="P44">
            <v>88045</v>
          </cell>
          <cell r="T44">
            <v>41</v>
          </cell>
          <cell r="U44" t="str">
            <v>Other</v>
          </cell>
          <cell r="X44">
            <v>3035</v>
          </cell>
          <cell r="Y44">
            <v>5851</v>
          </cell>
          <cell r="Z44">
            <v>9728</v>
          </cell>
          <cell r="AA44">
            <v>14353</v>
          </cell>
          <cell r="AB44">
            <v>17964</v>
          </cell>
          <cell r="AC44">
            <v>26801</v>
          </cell>
          <cell r="AD44">
            <v>34362</v>
          </cell>
          <cell r="AE44">
            <v>45635</v>
          </cell>
          <cell r="AF44">
            <v>53824</v>
          </cell>
          <cell r="AG44">
            <v>65342</v>
          </cell>
          <cell r="AH44">
            <v>72122</v>
          </cell>
          <cell r="AI44">
            <v>78085</v>
          </cell>
        </row>
        <row r="45">
          <cell r="A45">
            <v>42</v>
          </cell>
          <cell r="B45" t="str">
            <v>Total Volume</v>
          </cell>
          <cell r="E45">
            <v>951517</v>
          </cell>
          <cell r="F45">
            <v>2087892</v>
          </cell>
          <cell r="G45">
            <v>2999039</v>
          </cell>
          <cell r="H45">
            <v>3656960</v>
          </cell>
          <cell r="I45">
            <v>4154823</v>
          </cell>
          <cell r="J45">
            <v>4555553</v>
          </cell>
          <cell r="K45">
            <v>4882239</v>
          </cell>
          <cell r="L45">
            <v>5222900</v>
          </cell>
          <cell r="M45">
            <v>5601828</v>
          </cell>
          <cell r="N45">
            <v>6026818</v>
          </cell>
          <cell r="O45">
            <v>6555988</v>
          </cell>
          <cell r="P45">
            <v>7487590</v>
          </cell>
          <cell r="T45">
            <v>42</v>
          </cell>
          <cell r="U45" t="str">
            <v>Total Volume</v>
          </cell>
          <cell r="X45">
            <v>1137886</v>
          </cell>
          <cell r="Y45">
            <v>2435082</v>
          </cell>
          <cell r="Z45">
            <v>3643281</v>
          </cell>
          <cell r="AA45">
            <v>4372849</v>
          </cell>
          <cell r="AB45">
            <v>4781600</v>
          </cell>
          <cell r="AC45">
            <v>5116864</v>
          </cell>
          <cell r="AD45">
            <v>5451388</v>
          </cell>
          <cell r="AE45">
            <v>5760947</v>
          </cell>
          <cell r="AF45">
            <v>6125338</v>
          </cell>
          <cell r="AG45">
            <v>6571137</v>
          </cell>
          <cell r="AH45">
            <v>7064212</v>
          </cell>
          <cell r="AI45">
            <v>7798108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388267</v>
          </cell>
          <cell r="F48">
            <v>931790</v>
          </cell>
          <cell r="G48">
            <v>1318921</v>
          </cell>
          <cell r="H48">
            <v>1574809</v>
          </cell>
          <cell r="I48">
            <v>1720189</v>
          </cell>
          <cell r="J48">
            <v>1790222</v>
          </cell>
          <cell r="K48">
            <v>1837632</v>
          </cell>
          <cell r="L48">
            <v>1877291</v>
          </cell>
          <cell r="M48">
            <v>1922056</v>
          </cell>
          <cell r="N48">
            <v>1975694</v>
          </cell>
          <cell r="O48">
            <v>2122559</v>
          </cell>
          <cell r="P48">
            <v>2488792</v>
          </cell>
          <cell r="T48">
            <v>45</v>
          </cell>
          <cell r="U48" t="str">
            <v>Residential</v>
          </cell>
          <cell r="X48">
            <v>541039</v>
          </cell>
          <cell r="Y48">
            <v>1189634</v>
          </cell>
          <cell r="Z48">
            <v>1787906</v>
          </cell>
          <cell r="AA48">
            <v>2084752</v>
          </cell>
          <cell r="AB48">
            <v>2196374</v>
          </cell>
          <cell r="AC48">
            <v>2248985</v>
          </cell>
          <cell r="AD48">
            <v>2295313</v>
          </cell>
          <cell r="AE48">
            <v>2337881</v>
          </cell>
          <cell r="AF48">
            <v>2379520</v>
          </cell>
          <cell r="AG48">
            <v>2454997</v>
          </cell>
          <cell r="AH48">
            <v>2594461</v>
          </cell>
          <cell r="AI48">
            <v>2854245</v>
          </cell>
        </row>
        <row r="49">
          <cell r="A49">
            <v>46</v>
          </cell>
          <cell r="B49" t="str">
            <v>Commercial</v>
          </cell>
          <cell r="E49">
            <v>316998</v>
          </cell>
          <cell r="F49">
            <v>669530</v>
          </cell>
          <cell r="G49">
            <v>931278</v>
          </cell>
          <cell r="H49">
            <v>1107768</v>
          </cell>
          <cell r="I49">
            <v>1231107</v>
          </cell>
          <cell r="J49">
            <v>1325388</v>
          </cell>
          <cell r="K49">
            <v>1401857</v>
          </cell>
          <cell r="L49">
            <v>1478829</v>
          </cell>
          <cell r="M49">
            <v>1562774</v>
          </cell>
          <cell r="N49">
            <v>1664810</v>
          </cell>
          <cell r="O49">
            <v>1816321</v>
          </cell>
          <cell r="P49">
            <v>2115267</v>
          </cell>
          <cell r="T49">
            <v>46</v>
          </cell>
          <cell r="U49" t="str">
            <v>Commercial</v>
          </cell>
          <cell r="X49">
            <v>379463</v>
          </cell>
          <cell r="Y49">
            <v>827570</v>
          </cell>
          <cell r="Z49">
            <v>1217531</v>
          </cell>
          <cell r="AA49">
            <v>1431036</v>
          </cell>
          <cell r="AB49">
            <v>1532920</v>
          </cell>
          <cell r="AC49">
            <v>1613642</v>
          </cell>
          <cell r="AD49">
            <v>1693179</v>
          </cell>
          <cell r="AE49">
            <v>1766036</v>
          </cell>
          <cell r="AF49">
            <v>1842317</v>
          </cell>
          <cell r="AG49">
            <v>1957327</v>
          </cell>
          <cell r="AH49">
            <v>2096020</v>
          </cell>
          <cell r="AI49">
            <v>2308624</v>
          </cell>
        </row>
        <row r="50">
          <cell r="A50">
            <v>47</v>
          </cell>
          <cell r="B50" t="str">
            <v xml:space="preserve">Industrial </v>
          </cell>
          <cell r="E50">
            <v>299138</v>
          </cell>
          <cell r="F50">
            <v>600636</v>
          </cell>
          <cell r="G50">
            <v>906318</v>
          </cell>
          <cell r="H50">
            <v>1162054</v>
          </cell>
          <cell r="I50">
            <v>1407447</v>
          </cell>
          <cell r="J50">
            <v>1654020</v>
          </cell>
          <cell r="K50">
            <v>1865090</v>
          </cell>
          <cell r="L50">
            <v>2096811</v>
          </cell>
          <cell r="M50">
            <v>2360856</v>
          </cell>
          <cell r="N50">
            <v>2642781</v>
          </cell>
          <cell r="O50">
            <v>2892954</v>
          </cell>
          <cell r="P50">
            <v>3201844</v>
          </cell>
          <cell r="T50">
            <v>47</v>
          </cell>
          <cell r="U50" t="str">
            <v xml:space="preserve">Industrial </v>
          </cell>
          <cell r="X50">
            <v>284540</v>
          </cell>
          <cell r="Y50">
            <v>565589</v>
          </cell>
          <cell r="Z50">
            <v>858237</v>
          </cell>
          <cell r="AA50">
            <v>1115194</v>
          </cell>
          <cell r="AB50">
            <v>1330682</v>
          </cell>
          <cell r="AC50">
            <v>1544350</v>
          </cell>
          <cell r="AD50">
            <v>1764530</v>
          </cell>
          <cell r="AE50">
            <v>1964259</v>
          </cell>
          <cell r="AF50">
            <v>2222157</v>
          </cell>
          <cell r="AG50">
            <v>2491804</v>
          </cell>
          <cell r="AH50">
            <v>2726464</v>
          </cell>
          <cell r="AI50">
            <v>3022249</v>
          </cell>
        </row>
        <row r="51">
          <cell r="A51">
            <v>48</v>
          </cell>
          <cell r="B51" t="str">
            <v>Other</v>
          </cell>
          <cell r="E51">
            <v>3834</v>
          </cell>
          <cell r="F51">
            <v>7679</v>
          </cell>
          <cell r="G51">
            <v>13504</v>
          </cell>
          <cell r="H51">
            <v>20115</v>
          </cell>
          <cell r="I51">
            <v>29372</v>
          </cell>
          <cell r="J51">
            <v>40085</v>
          </cell>
          <cell r="K51">
            <v>50329</v>
          </cell>
          <cell r="L51">
            <v>61576</v>
          </cell>
          <cell r="M51">
            <v>68293</v>
          </cell>
          <cell r="N51">
            <v>78052</v>
          </cell>
          <cell r="O51">
            <v>86328</v>
          </cell>
          <cell r="P51">
            <v>92807</v>
          </cell>
          <cell r="T51">
            <v>48</v>
          </cell>
          <cell r="U51" t="str">
            <v>Other</v>
          </cell>
          <cell r="X51">
            <v>3223</v>
          </cell>
          <cell r="Y51">
            <v>6220</v>
          </cell>
          <cell r="Z51">
            <v>10343</v>
          </cell>
          <cell r="AA51">
            <v>15238</v>
          </cell>
          <cell r="AB51">
            <v>19062</v>
          </cell>
          <cell r="AC51">
            <v>28456</v>
          </cell>
          <cell r="AD51">
            <v>36458</v>
          </cell>
          <cell r="AE51">
            <v>48368</v>
          </cell>
          <cell r="AF51">
            <v>57008</v>
          </cell>
          <cell r="AG51">
            <v>69212</v>
          </cell>
          <cell r="AH51">
            <v>76362</v>
          </cell>
          <cell r="AI51">
            <v>82655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1008237</v>
          </cell>
          <cell r="F52">
            <v>2209635</v>
          </cell>
          <cell r="G52">
            <v>3170021</v>
          </cell>
          <cell r="H52">
            <v>3864746</v>
          </cell>
          <cell r="I52">
            <v>4388115</v>
          </cell>
          <cell r="J52">
            <v>4809715</v>
          </cell>
          <cell r="K52">
            <v>5154908</v>
          </cell>
          <cell r="L52">
            <v>5514507</v>
          </cell>
          <cell r="M52">
            <v>5913979</v>
          </cell>
          <cell r="N52">
            <v>6361337</v>
          </cell>
          <cell r="O52">
            <v>6918162</v>
          </cell>
          <cell r="P52">
            <v>7898710</v>
          </cell>
          <cell r="T52">
            <v>49</v>
          </cell>
          <cell r="U52" t="str">
            <v>Total Volume</v>
          </cell>
          <cell r="W52">
            <v>0</v>
          </cell>
          <cell r="X52">
            <v>1208265</v>
          </cell>
          <cell r="Y52">
            <v>2589013</v>
          </cell>
          <cell r="Z52">
            <v>3874017</v>
          </cell>
          <cell r="AA52">
            <v>4646220</v>
          </cell>
          <cell r="AB52">
            <v>5079038</v>
          </cell>
          <cell r="AC52">
            <v>5435433</v>
          </cell>
          <cell r="AD52">
            <v>5789480</v>
          </cell>
          <cell r="AE52">
            <v>6116544</v>
          </cell>
          <cell r="AF52">
            <v>6501002</v>
          </cell>
          <cell r="AG52">
            <v>6973340</v>
          </cell>
          <cell r="AH52">
            <v>7493307</v>
          </cell>
          <cell r="AI52">
            <v>8267773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47706</v>
          </cell>
          <cell r="F55">
            <v>47770</v>
          </cell>
          <cell r="G55">
            <v>47789</v>
          </cell>
          <cell r="H55">
            <v>47782</v>
          </cell>
          <cell r="I55">
            <v>47791</v>
          </cell>
          <cell r="J55">
            <v>47805</v>
          </cell>
          <cell r="K55">
            <v>47867</v>
          </cell>
          <cell r="L55">
            <v>47902</v>
          </cell>
          <cell r="M55">
            <v>47941</v>
          </cell>
          <cell r="N55">
            <v>47989</v>
          </cell>
          <cell r="O55">
            <v>48065</v>
          </cell>
          <cell r="P55">
            <v>48164</v>
          </cell>
        </row>
        <row r="56">
          <cell r="A56">
            <v>53</v>
          </cell>
          <cell r="B56" t="str">
            <v>Cumulative Budget YTD Volume (Mcfs)</v>
          </cell>
          <cell r="E56">
            <v>1116645</v>
          </cell>
          <cell r="F56">
            <v>2337478</v>
          </cell>
          <cell r="G56">
            <v>3363682</v>
          </cell>
          <cell r="H56">
            <v>4073793</v>
          </cell>
          <cell r="I56">
            <v>4509846</v>
          </cell>
          <cell r="J56">
            <v>4859802</v>
          </cell>
          <cell r="K56">
            <v>5175166</v>
          </cell>
          <cell r="L56">
            <v>5480910</v>
          </cell>
          <cell r="M56">
            <v>5836137</v>
          </cell>
          <cell r="N56">
            <v>6293715</v>
          </cell>
          <cell r="O56">
            <v>6896674</v>
          </cell>
          <cell r="P56">
            <v>7852301</v>
          </cell>
        </row>
        <row r="57">
          <cell r="A57">
            <v>54</v>
          </cell>
          <cell r="B57" t="str">
            <v>Cumulative YTD Budget Volume (Dts) * 1.035</v>
          </cell>
          <cell r="E57">
            <v>1155727.575</v>
          </cell>
          <cell r="F57">
            <v>2419289.7299999995</v>
          </cell>
          <cell r="G57">
            <v>3481410.8699999992</v>
          </cell>
          <cell r="H57">
            <v>4216375.754999999</v>
          </cell>
          <cell r="I57">
            <v>4667690.6099999994</v>
          </cell>
          <cell r="J57">
            <v>5029895.0699999994</v>
          </cell>
          <cell r="K57">
            <v>5356296.8099999996</v>
          </cell>
          <cell r="L57">
            <v>5672741.8499999996</v>
          </cell>
          <cell r="M57">
            <v>6040401.7949999999</v>
          </cell>
          <cell r="N57">
            <v>6513995.0250000004</v>
          </cell>
          <cell r="O57">
            <v>7138057.5899999999</v>
          </cell>
          <cell r="P57">
            <v>8127131.5350000001</v>
          </cell>
        </row>
      </sheetData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11034.666666666666</v>
          </cell>
          <cell r="E5">
            <v>11226</v>
          </cell>
          <cell r="F5">
            <v>11343</v>
          </cell>
          <cell r="G5">
            <v>11337</v>
          </cell>
          <cell r="H5">
            <v>11308</v>
          </cell>
          <cell r="I5">
            <v>11150</v>
          </cell>
          <cell r="J5">
            <v>10993</v>
          </cell>
          <cell r="K5">
            <v>10843</v>
          </cell>
          <cell r="L5">
            <v>10765</v>
          </cell>
          <cell r="M5">
            <v>10714</v>
          </cell>
          <cell r="N5">
            <v>10740</v>
          </cell>
          <cell r="O5">
            <v>10877</v>
          </cell>
          <cell r="P5">
            <v>11120</v>
          </cell>
          <cell r="T5">
            <v>2</v>
          </cell>
          <cell r="U5" t="str">
            <v>Residential</v>
          </cell>
          <cell r="V5">
            <v>10967</v>
          </cell>
          <cell r="W5">
            <v>131606</v>
          </cell>
          <cell r="X5">
            <v>11265</v>
          </cell>
          <cell r="Y5">
            <v>11343</v>
          </cell>
          <cell r="Z5">
            <v>11374</v>
          </cell>
          <cell r="AA5">
            <v>11276</v>
          </cell>
          <cell r="AB5">
            <v>10955</v>
          </cell>
          <cell r="AC5">
            <v>10729</v>
          </cell>
          <cell r="AD5">
            <v>10634</v>
          </cell>
          <cell r="AE5">
            <v>10607</v>
          </cell>
          <cell r="AF5">
            <v>10637</v>
          </cell>
          <cell r="AG5">
            <v>10711</v>
          </cell>
          <cell r="AH5">
            <v>10957</v>
          </cell>
          <cell r="AI5">
            <v>11118</v>
          </cell>
        </row>
        <row r="6">
          <cell r="A6">
            <v>3</v>
          </cell>
          <cell r="B6" t="str">
            <v>Commercial</v>
          </cell>
          <cell r="D6">
            <v>1826.5</v>
          </cell>
          <cell r="E6">
            <v>1851</v>
          </cell>
          <cell r="F6">
            <v>1861</v>
          </cell>
          <cell r="G6">
            <v>1864</v>
          </cell>
          <cell r="H6">
            <v>1847</v>
          </cell>
          <cell r="I6">
            <v>1825</v>
          </cell>
          <cell r="J6">
            <v>1816</v>
          </cell>
          <cell r="K6">
            <v>1813</v>
          </cell>
          <cell r="L6">
            <v>1794</v>
          </cell>
          <cell r="M6">
            <v>1789</v>
          </cell>
          <cell r="N6">
            <v>1792</v>
          </cell>
          <cell r="O6">
            <v>1816</v>
          </cell>
          <cell r="P6">
            <v>1850</v>
          </cell>
          <cell r="T6">
            <v>3</v>
          </cell>
          <cell r="U6" t="str">
            <v>Commercial</v>
          </cell>
          <cell r="V6">
            <v>1800</v>
          </cell>
          <cell r="W6">
            <v>21599</v>
          </cell>
          <cell r="X6">
            <v>1834</v>
          </cell>
          <cell r="Y6">
            <v>1844</v>
          </cell>
          <cell r="Z6">
            <v>1844</v>
          </cell>
          <cell r="AA6">
            <v>1830</v>
          </cell>
          <cell r="AB6">
            <v>1795</v>
          </cell>
          <cell r="AC6">
            <v>1772</v>
          </cell>
          <cell r="AD6">
            <v>1761</v>
          </cell>
          <cell r="AE6">
            <v>1758</v>
          </cell>
          <cell r="AF6">
            <v>1764</v>
          </cell>
          <cell r="AG6">
            <v>1769</v>
          </cell>
          <cell r="AH6">
            <v>1798</v>
          </cell>
          <cell r="AI6">
            <v>1830</v>
          </cell>
        </row>
        <row r="7">
          <cell r="A7">
            <v>4</v>
          </cell>
          <cell r="B7" t="str">
            <v xml:space="preserve">Industrial </v>
          </cell>
          <cell r="D7">
            <v>39.166666666666664</v>
          </cell>
          <cell r="E7">
            <v>38</v>
          </cell>
          <cell r="F7">
            <v>38</v>
          </cell>
          <cell r="G7">
            <v>38</v>
          </cell>
          <cell r="H7">
            <v>38</v>
          </cell>
          <cell r="I7">
            <v>39</v>
          </cell>
          <cell r="J7">
            <v>39</v>
          </cell>
          <cell r="K7">
            <v>40</v>
          </cell>
          <cell r="L7">
            <v>40</v>
          </cell>
          <cell r="M7">
            <v>40</v>
          </cell>
          <cell r="N7">
            <v>40</v>
          </cell>
          <cell r="O7">
            <v>40</v>
          </cell>
          <cell r="P7">
            <v>40</v>
          </cell>
          <cell r="T7">
            <v>4</v>
          </cell>
          <cell r="U7" t="str">
            <v xml:space="preserve">Industrial </v>
          </cell>
          <cell r="V7">
            <v>37</v>
          </cell>
          <cell r="W7">
            <v>445</v>
          </cell>
          <cell r="X7">
            <v>37</v>
          </cell>
          <cell r="Y7">
            <v>37</v>
          </cell>
          <cell r="Z7">
            <v>37</v>
          </cell>
          <cell r="AA7">
            <v>37</v>
          </cell>
          <cell r="AB7">
            <v>37</v>
          </cell>
          <cell r="AC7">
            <v>37</v>
          </cell>
          <cell r="AD7">
            <v>37</v>
          </cell>
          <cell r="AE7">
            <v>37</v>
          </cell>
          <cell r="AF7">
            <v>37</v>
          </cell>
          <cell r="AG7">
            <v>37</v>
          </cell>
          <cell r="AH7">
            <v>37</v>
          </cell>
          <cell r="AI7">
            <v>38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12900.333333333332</v>
          </cell>
          <cell r="E9">
            <v>13115</v>
          </cell>
          <cell r="F9">
            <v>13242</v>
          </cell>
          <cell r="G9">
            <v>13239</v>
          </cell>
          <cell r="H9">
            <v>13193</v>
          </cell>
          <cell r="I9">
            <v>13014</v>
          </cell>
          <cell r="J9">
            <v>12848</v>
          </cell>
          <cell r="K9">
            <v>12696</v>
          </cell>
          <cell r="L9">
            <v>12599</v>
          </cell>
          <cell r="M9">
            <v>12543</v>
          </cell>
          <cell r="N9">
            <v>12572</v>
          </cell>
          <cell r="O9">
            <v>12733</v>
          </cell>
          <cell r="P9">
            <v>13010</v>
          </cell>
          <cell r="T9">
            <v>6</v>
          </cell>
          <cell r="U9" t="str">
            <v>Total customers</v>
          </cell>
          <cell r="V9">
            <v>12804</v>
          </cell>
          <cell r="W9">
            <v>153650</v>
          </cell>
          <cell r="X9">
            <v>13136</v>
          </cell>
          <cell r="Y9">
            <v>13224</v>
          </cell>
          <cell r="Z9">
            <v>13255</v>
          </cell>
          <cell r="AA9">
            <v>13143</v>
          </cell>
          <cell r="AB9">
            <v>12787</v>
          </cell>
          <cell r="AC9">
            <v>12538</v>
          </cell>
          <cell r="AD9">
            <v>12432</v>
          </cell>
          <cell r="AE9">
            <v>12402</v>
          </cell>
          <cell r="AF9">
            <v>12438</v>
          </cell>
          <cell r="AG9">
            <v>12517</v>
          </cell>
          <cell r="AH9">
            <v>12792</v>
          </cell>
          <cell r="AI9">
            <v>12986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- 2016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476810</v>
          </cell>
          <cell r="E12">
            <v>69314</v>
          </cell>
          <cell r="F12">
            <v>100309</v>
          </cell>
          <cell r="G12">
            <v>83121</v>
          </cell>
          <cell r="H12">
            <v>47236</v>
          </cell>
          <cell r="I12">
            <v>30343</v>
          </cell>
          <cell r="J12">
            <v>15152</v>
          </cell>
          <cell r="K12">
            <v>8857</v>
          </cell>
          <cell r="L12">
            <v>7993</v>
          </cell>
          <cell r="M12">
            <v>8653</v>
          </cell>
          <cell r="N12">
            <v>10803</v>
          </cell>
          <cell r="O12">
            <v>28049</v>
          </cell>
          <cell r="P12">
            <v>66980</v>
          </cell>
          <cell r="T12">
            <v>9</v>
          </cell>
          <cell r="U12" t="str">
            <v>Residential</v>
          </cell>
          <cell r="W12">
            <v>560347</v>
          </cell>
          <cell r="X12">
            <v>101939</v>
          </cell>
          <cell r="Y12">
            <v>122779</v>
          </cell>
          <cell r="Z12">
            <v>123834</v>
          </cell>
          <cell r="AA12">
            <v>62557</v>
          </cell>
          <cell r="AB12">
            <v>23816</v>
          </cell>
          <cell r="AC12">
            <v>10926</v>
          </cell>
          <cell r="AD12">
            <v>9217</v>
          </cell>
          <cell r="AE12">
            <v>8543</v>
          </cell>
          <cell r="AF12">
            <v>8551</v>
          </cell>
          <cell r="AG12">
            <v>14099</v>
          </cell>
          <cell r="AH12">
            <v>28654</v>
          </cell>
          <cell r="AI12">
            <v>45432</v>
          </cell>
        </row>
        <row r="13">
          <cell r="A13">
            <v>10</v>
          </cell>
          <cell r="B13" t="str">
            <v>Commercial</v>
          </cell>
          <cell r="C13">
            <v>804855</v>
          </cell>
          <cell r="E13">
            <v>95392</v>
          </cell>
          <cell r="F13">
            <v>125552</v>
          </cell>
          <cell r="G13">
            <v>106532</v>
          </cell>
          <cell r="H13">
            <v>69664</v>
          </cell>
          <cell r="I13">
            <v>54827</v>
          </cell>
          <cell r="J13">
            <v>40729</v>
          </cell>
          <cell r="K13">
            <v>32851</v>
          </cell>
          <cell r="L13">
            <v>32580</v>
          </cell>
          <cell r="M13">
            <v>37045</v>
          </cell>
          <cell r="N13">
            <v>44487</v>
          </cell>
          <cell r="O13">
            <v>61333</v>
          </cell>
          <cell r="P13">
            <v>103863</v>
          </cell>
          <cell r="T13">
            <v>10</v>
          </cell>
          <cell r="U13" t="str">
            <v>Commercial</v>
          </cell>
          <cell r="W13">
            <v>861998</v>
          </cell>
          <cell r="X13">
            <v>130027</v>
          </cell>
          <cell r="Y13">
            <v>154728</v>
          </cell>
          <cell r="Z13">
            <v>140770</v>
          </cell>
          <cell r="AA13">
            <v>85391</v>
          </cell>
          <cell r="AB13">
            <v>45510</v>
          </cell>
          <cell r="AC13">
            <v>33968</v>
          </cell>
          <cell r="AD13">
            <v>32774</v>
          </cell>
          <cell r="AE13">
            <v>30588</v>
          </cell>
          <cell r="AF13">
            <v>33261</v>
          </cell>
          <cell r="AG13">
            <v>47261</v>
          </cell>
          <cell r="AH13">
            <v>53996</v>
          </cell>
          <cell r="AI13">
            <v>73724</v>
          </cell>
        </row>
        <row r="14">
          <cell r="A14">
            <v>11</v>
          </cell>
          <cell r="B14" t="str">
            <v xml:space="preserve">Industrial </v>
          </cell>
          <cell r="C14">
            <v>1640298</v>
          </cell>
          <cell r="E14">
            <v>140418</v>
          </cell>
          <cell r="F14">
            <v>137864</v>
          </cell>
          <cell r="G14">
            <v>142627</v>
          </cell>
          <cell r="H14">
            <v>130717</v>
          </cell>
          <cell r="I14">
            <v>119334</v>
          </cell>
          <cell r="J14">
            <v>133093</v>
          </cell>
          <cell r="K14">
            <v>112375</v>
          </cell>
          <cell r="L14">
            <v>131056</v>
          </cell>
          <cell r="M14">
            <v>141273</v>
          </cell>
          <cell r="N14">
            <v>149609</v>
          </cell>
          <cell r="O14">
            <v>144214</v>
          </cell>
          <cell r="P14">
            <v>157718</v>
          </cell>
          <cell r="T14">
            <v>11</v>
          </cell>
          <cell r="U14" t="str">
            <v xml:space="preserve">Industrial </v>
          </cell>
          <cell r="W14">
            <v>1431238</v>
          </cell>
          <cell r="X14">
            <v>124081</v>
          </cell>
          <cell r="Y14">
            <v>123031</v>
          </cell>
          <cell r="Z14">
            <v>126676</v>
          </cell>
          <cell r="AA14">
            <v>120032</v>
          </cell>
          <cell r="AB14">
            <v>103514</v>
          </cell>
          <cell r="AC14">
            <v>107589</v>
          </cell>
          <cell r="AD14">
            <v>99065</v>
          </cell>
          <cell r="AE14">
            <v>101942</v>
          </cell>
          <cell r="AF14">
            <v>122856</v>
          </cell>
          <cell r="AG14">
            <v>134763</v>
          </cell>
          <cell r="AH14">
            <v>123983</v>
          </cell>
          <cell r="AI14">
            <v>143706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2921963</v>
          </cell>
          <cell r="E16">
            <v>305124</v>
          </cell>
          <cell r="F16">
            <v>363725</v>
          </cell>
          <cell r="G16">
            <v>332280</v>
          </cell>
          <cell r="H16">
            <v>247617</v>
          </cell>
          <cell r="I16">
            <v>204504</v>
          </cell>
          <cell r="J16">
            <v>188974</v>
          </cell>
          <cell r="K16">
            <v>154083</v>
          </cell>
          <cell r="L16">
            <v>171629</v>
          </cell>
          <cell r="M16">
            <v>186971</v>
          </cell>
          <cell r="N16">
            <v>204899</v>
          </cell>
          <cell r="O16">
            <v>233596</v>
          </cell>
          <cell r="P16">
            <v>328561</v>
          </cell>
          <cell r="T16">
            <v>13</v>
          </cell>
          <cell r="U16" t="str">
            <v>Total Deliveries</v>
          </cell>
          <cell r="W16">
            <v>2853583</v>
          </cell>
          <cell r="X16">
            <v>356047</v>
          </cell>
          <cell r="Y16">
            <v>400538</v>
          </cell>
          <cell r="Z16">
            <v>391280</v>
          </cell>
          <cell r="AA16">
            <v>267980</v>
          </cell>
          <cell r="AB16">
            <v>172840</v>
          </cell>
          <cell r="AC16">
            <v>152483</v>
          </cell>
          <cell r="AD16">
            <v>141056</v>
          </cell>
          <cell r="AE16">
            <v>141073</v>
          </cell>
          <cell r="AF16">
            <v>164668</v>
          </cell>
          <cell r="AG16">
            <v>196123</v>
          </cell>
          <cell r="AH16">
            <v>206633</v>
          </cell>
          <cell r="AI16">
            <v>262862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503128</v>
          </cell>
          <cell r="E21">
            <v>73446</v>
          </cell>
          <cell r="F21">
            <v>106049</v>
          </cell>
          <cell r="G21">
            <v>87613</v>
          </cell>
          <cell r="H21">
            <v>49878</v>
          </cell>
          <cell r="I21">
            <v>31897</v>
          </cell>
          <cell r="J21">
            <v>15941</v>
          </cell>
          <cell r="K21">
            <v>9359</v>
          </cell>
          <cell r="L21">
            <v>8437</v>
          </cell>
          <cell r="M21">
            <v>9122</v>
          </cell>
          <cell r="N21">
            <v>11372</v>
          </cell>
          <cell r="O21">
            <v>29515</v>
          </cell>
          <cell r="P21">
            <v>70499</v>
          </cell>
          <cell r="T21">
            <v>18</v>
          </cell>
          <cell r="U21" t="str">
            <v>Residential</v>
          </cell>
          <cell r="W21">
            <v>594584</v>
          </cell>
          <cell r="X21">
            <v>108244</v>
          </cell>
          <cell r="Y21">
            <v>130687</v>
          </cell>
          <cell r="Z21">
            <v>131706</v>
          </cell>
          <cell r="AA21">
            <v>66213</v>
          </cell>
          <cell r="AB21">
            <v>25218</v>
          </cell>
          <cell r="AC21">
            <v>11615</v>
          </cell>
          <cell r="AD21">
            <v>9755</v>
          </cell>
          <cell r="AE21">
            <v>9026</v>
          </cell>
          <cell r="AF21">
            <v>9022</v>
          </cell>
          <cell r="AG21">
            <v>14938</v>
          </cell>
          <cell r="AH21">
            <v>30217</v>
          </cell>
          <cell r="AI21">
            <v>47943</v>
          </cell>
        </row>
        <row r="22">
          <cell r="A22">
            <v>19</v>
          </cell>
          <cell r="B22" t="str">
            <v>Commercial</v>
          </cell>
          <cell r="D22">
            <v>848993</v>
          </cell>
          <cell r="E22">
            <v>101078</v>
          </cell>
          <cell r="F22">
            <v>132736</v>
          </cell>
          <cell r="G22">
            <v>112289</v>
          </cell>
          <cell r="H22">
            <v>73561</v>
          </cell>
          <cell r="I22">
            <v>57636</v>
          </cell>
          <cell r="J22">
            <v>42850</v>
          </cell>
          <cell r="K22">
            <v>34712</v>
          </cell>
          <cell r="L22">
            <v>34391</v>
          </cell>
          <cell r="M22">
            <v>39054</v>
          </cell>
          <cell r="N22">
            <v>46828</v>
          </cell>
          <cell r="O22">
            <v>64538</v>
          </cell>
          <cell r="P22">
            <v>109320</v>
          </cell>
          <cell r="T22">
            <v>19</v>
          </cell>
          <cell r="U22" t="str">
            <v>Commercial</v>
          </cell>
          <cell r="W22">
            <v>914074</v>
          </cell>
          <cell r="X22">
            <v>138069</v>
          </cell>
          <cell r="Y22">
            <v>164694</v>
          </cell>
          <cell r="Z22">
            <v>149719</v>
          </cell>
          <cell r="AA22">
            <v>90381</v>
          </cell>
          <cell r="AB22">
            <v>48190</v>
          </cell>
          <cell r="AC22">
            <v>36109</v>
          </cell>
          <cell r="AD22">
            <v>34687</v>
          </cell>
          <cell r="AE22">
            <v>32318</v>
          </cell>
          <cell r="AF22">
            <v>35093</v>
          </cell>
          <cell r="AG22">
            <v>50074</v>
          </cell>
          <cell r="AH22">
            <v>56941</v>
          </cell>
          <cell r="AI22">
            <v>77799</v>
          </cell>
        </row>
        <row r="23">
          <cell r="A23">
            <v>20</v>
          </cell>
          <cell r="B23" t="str">
            <v xml:space="preserve">Industrial </v>
          </cell>
          <cell r="D23">
            <v>1729630</v>
          </cell>
          <cell r="E23">
            <v>148788</v>
          </cell>
          <cell r="F23">
            <v>145753</v>
          </cell>
          <cell r="G23">
            <v>150335</v>
          </cell>
          <cell r="H23">
            <v>138029</v>
          </cell>
          <cell r="I23">
            <v>125447</v>
          </cell>
          <cell r="J23">
            <v>140024</v>
          </cell>
          <cell r="K23">
            <v>118741</v>
          </cell>
          <cell r="L23">
            <v>138341</v>
          </cell>
          <cell r="M23">
            <v>148933</v>
          </cell>
          <cell r="N23">
            <v>157483</v>
          </cell>
          <cell r="O23">
            <v>151751</v>
          </cell>
          <cell r="P23">
            <v>166005</v>
          </cell>
          <cell r="T23">
            <v>20</v>
          </cell>
          <cell r="U23" t="str">
            <v xml:space="preserve">Industrial </v>
          </cell>
          <cell r="W23">
            <v>1515820</v>
          </cell>
          <cell r="X23">
            <v>131755</v>
          </cell>
          <cell r="Y23">
            <v>130955</v>
          </cell>
          <cell r="Z23">
            <v>134729</v>
          </cell>
          <cell r="AA23">
            <v>127047</v>
          </cell>
          <cell r="AB23">
            <v>109609</v>
          </cell>
          <cell r="AC23">
            <v>114370</v>
          </cell>
          <cell r="AD23">
            <v>104846</v>
          </cell>
          <cell r="AE23">
            <v>107707</v>
          </cell>
          <cell r="AF23">
            <v>129622</v>
          </cell>
          <cell r="AG23">
            <v>142785</v>
          </cell>
          <cell r="AH23">
            <v>130745</v>
          </cell>
          <cell r="AI23">
            <v>151650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3081751</v>
          </cell>
          <cell r="E25">
            <v>323312</v>
          </cell>
          <cell r="F25">
            <v>384538</v>
          </cell>
          <cell r="G25">
            <v>350237</v>
          </cell>
          <cell r="H25">
            <v>261468</v>
          </cell>
          <cell r="I25">
            <v>214980</v>
          </cell>
          <cell r="J25">
            <v>198815</v>
          </cell>
          <cell r="K25">
            <v>162812</v>
          </cell>
          <cell r="L25">
            <v>181169</v>
          </cell>
          <cell r="M25">
            <v>197109</v>
          </cell>
          <cell r="N25">
            <v>215683</v>
          </cell>
          <cell r="O25">
            <v>245804</v>
          </cell>
          <cell r="P25">
            <v>345824</v>
          </cell>
          <cell r="T25">
            <v>22</v>
          </cell>
          <cell r="U25" t="str">
            <v>Total Deliveries</v>
          </cell>
          <cell r="W25">
            <v>3024478</v>
          </cell>
          <cell r="X25">
            <v>378068</v>
          </cell>
          <cell r="Y25">
            <v>426336</v>
          </cell>
          <cell r="Z25">
            <v>416154</v>
          </cell>
          <cell r="AA25">
            <v>283641</v>
          </cell>
          <cell r="AB25">
            <v>183017</v>
          </cell>
          <cell r="AC25">
            <v>162094</v>
          </cell>
          <cell r="AD25">
            <v>149288</v>
          </cell>
          <cell r="AE25">
            <v>149051</v>
          </cell>
          <cell r="AF25">
            <v>173737</v>
          </cell>
          <cell r="AG25">
            <v>207797</v>
          </cell>
          <cell r="AH25">
            <v>217903</v>
          </cell>
          <cell r="AI25">
            <v>277392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13274</v>
          </cell>
          <cell r="F28">
            <v>13279</v>
          </cell>
          <cell r="G28">
            <v>13280</v>
          </cell>
          <cell r="H28">
            <v>13254</v>
          </cell>
          <cell r="I28">
            <v>13040</v>
          </cell>
          <cell r="J28">
            <v>12582</v>
          </cell>
          <cell r="K28">
            <v>12550</v>
          </cell>
          <cell r="L28">
            <v>12547</v>
          </cell>
          <cell r="M28">
            <v>12542</v>
          </cell>
          <cell r="N28">
            <v>12656</v>
          </cell>
          <cell r="O28">
            <v>13019</v>
          </cell>
          <cell r="P28">
            <v>13418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349557</v>
          </cell>
          <cell r="F29">
            <v>375855</v>
          </cell>
          <cell r="G29">
            <v>340461</v>
          </cell>
          <cell r="H29">
            <v>266204</v>
          </cell>
          <cell r="I29">
            <v>183299</v>
          </cell>
          <cell r="J29">
            <v>157845</v>
          </cell>
          <cell r="K29">
            <v>156922</v>
          </cell>
          <cell r="L29">
            <v>144882</v>
          </cell>
          <cell r="M29">
            <v>166336</v>
          </cell>
          <cell r="N29">
            <v>200117</v>
          </cell>
          <cell r="O29">
            <v>228165</v>
          </cell>
          <cell r="P29">
            <v>325599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361791.495</v>
          </cell>
          <cell r="F30">
            <v>389009.92499999999</v>
          </cell>
          <cell r="G30">
            <v>352377.13499999995</v>
          </cell>
          <cell r="H30">
            <v>275521.13999999996</v>
          </cell>
          <cell r="I30">
            <v>189714.465</v>
          </cell>
          <cell r="J30">
            <v>163369.57499999998</v>
          </cell>
          <cell r="K30">
            <v>162414.26999999999</v>
          </cell>
          <cell r="L30">
            <v>149952.87</v>
          </cell>
          <cell r="M30">
            <v>172157.75999999998</v>
          </cell>
          <cell r="N30">
            <v>207121.09499999997</v>
          </cell>
          <cell r="O30">
            <v>236150.77499999999</v>
          </cell>
          <cell r="P30">
            <v>336994.96499999997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11226</v>
          </cell>
          <cell r="F34">
            <v>11285</v>
          </cell>
          <cell r="G34">
            <v>11302</v>
          </cell>
          <cell r="H34">
            <v>11304</v>
          </cell>
          <cell r="I34">
            <v>11273</v>
          </cell>
          <cell r="J34">
            <v>11226</v>
          </cell>
          <cell r="K34">
            <v>11171</v>
          </cell>
          <cell r="L34">
            <v>11121</v>
          </cell>
          <cell r="M34">
            <v>11075</v>
          </cell>
          <cell r="N34">
            <v>11042</v>
          </cell>
          <cell r="O34">
            <v>11027</v>
          </cell>
          <cell r="P34">
            <v>11035</v>
          </cell>
          <cell r="T34">
            <v>31</v>
          </cell>
          <cell r="U34" t="str">
            <v>Residential</v>
          </cell>
          <cell r="X34">
            <v>11265</v>
          </cell>
          <cell r="Y34">
            <v>11304</v>
          </cell>
          <cell r="Z34">
            <v>11327</v>
          </cell>
          <cell r="AA34">
            <v>11315</v>
          </cell>
          <cell r="AB34">
            <v>11243</v>
          </cell>
          <cell r="AC34">
            <v>11157</v>
          </cell>
          <cell r="AD34">
            <v>11082</v>
          </cell>
          <cell r="AE34">
            <v>11023</v>
          </cell>
          <cell r="AF34">
            <v>10980</v>
          </cell>
          <cell r="AG34">
            <v>10953</v>
          </cell>
          <cell r="AH34">
            <v>10953</v>
          </cell>
          <cell r="AI34">
            <v>10967</v>
          </cell>
        </row>
        <row r="35">
          <cell r="A35">
            <v>32</v>
          </cell>
          <cell r="B35" t="str">
            <v>Commercial</v>
          </cell>
          <cell r="E35">
            <v>1851</v>
          </cell>
          <cell r="F35">
            <v>1856</v>
          </cell>
          <cell r="G35">
            <v>1859</v>
          </cell>
          <cell r="H35">
            <v>1856</v>
          </cell>
          <cell r="I35">
            <v>1850</v>
          </cell>
          <cell r="J35">
            <v>1844</v>
          </cell>
          <cell r="K35">
            <v>1840</v>
          </cell>
          <cell r="L35">
            <v>1834</v>
          </cell>
          <cell r="M35">
            <v>1829</v>
          </cell>
          <cell r="N35">
            <v>1825</v>
          </cell>
          <cell r="O35">
            <v>1824</v>
          </cell>
          <cell r="P35">
            <v>1827</v>
          </cell>
          <cell r="T35">
            <v>32</v>
          </cell>
          <cell r="U35" t="str">
            <v>Commercial</v>
          </cell>
          <cell r="X35">
            <v>1834</v>
          </cell>
          <cell r="Y35">
            <v>1839</v>
          </cell>
          <cell r="Z35">
            <v>1841</v>
          </cell>
          <cell r="AA35">
            <v>1838</v>
          </cell>
          <cell r="AB35">
            <v>1829</v>
          </cell>
          <cell r="AC35">
            <v>1820</v>
          </cell>
          <cell r="AD35">
            <v>1811</v>
          </cell>
          <cell r="AE35">
            <v>1805</v>
          </cell>
          <cell r="AF35">
            <v>1800</v>
          </cell>
          <cell r="AG35">
            <v>1797</v>
          </cell>
          <cell r="AH35">
            <v>1797</v>
          </cell>
          <cell r="AI35">
            <v>1800</v>
          </cell>
        </row>
        <row r="36">
          <cell r="A36">
            <v>33</v>
          </cell>
          <cell r="B36" t="str">
            <v xml:space="preserve">Industrial </v>
          </cell>
          <cell r="E36">
            <v>38</v>
          </cell>
          <cell r="F36">
            <v>38</v>
          </cell>
          <cell r="G36">
            <v>38</v>
          </cell>
          <cell r="H36">
            <v>38</v>
          </cell>
          <cell r="I36">
            <v>38</v>
          </cell>
          <cell r="J36">
            <v>38</v>
          </cell>
          <cell r="K36">
            <v>39</v>
          </cell>
          <cell r="L36">
            <v>39</v>
          </cell>
          <cell r="M36">
            <v>39</v>
          </cell>
          <cell r="N36">
            <v>39</v>
          </cell>
          <cell r="O36">
            <v>39</v>
          </cell>
          <cell r="P36">
            <v>39</v>
          </cell>
          <cell r="T36">
            <v>33</v>
          </cell>
          <cell r="U36" t="str">
            <v xml:space="preserve">Industrial </v>
          </cell>
          <cell r="X36">
            <v>37</v>
          </cell>
          <cell r="Y36">
            <v>37</v>
          </cell>
          <cell r="Z36">
            <v>37</v>
          </cell>
          <cell r="AA36">
            <v>37</v>
          </cell>
          <cell r="AB36">
            <v>37</v>
          </cell>
          <cell r="AC36">
            <v>37</v>
          </cell>
          <cell r="AD36">
            <v>37</v>
          </cell>
          <cell r="AE36">
            <v>37</v>
          </cell>
          <cell r="AF36">
            <v>37</v>
          </cell>
          <cell r="AG36">
            <v>37</v>
          </cell>
          <cell r="AH36">
            <v>37</v>
          </cell>
          <cell r="AI36">
            <v>37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13115</v>
          </cell>
          <cell r="F38">
            <v>13179</v>
          </cell>
          <cell r="G38">
            <v>13199</v>
          </cell>
          <cell r="H38">
            <v>13198</v>
          </cell>
          <cell r="I38">
            <v>13161</v>
          </cell>
          <cell r="J38">
            <v>13108</v>
          </cell>
          <cell r="K38">
            <v>13050</v>
          </cell>
          <cell r="L38">
            <v>12994</v>
          </cell>
          <cell r="M38">
            <v>12943</v>
          </cell>
          <cell r="N38">
            <v>12906</v>
          </cell>
          <cell r="O38">
            <v>12890</v>
          </cell>
          <cell r="P38">
            <v>12901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13136</v>
          </cell>
          <cell r="Y38">
            <v>13180</v>
          </cell>
          <cell r="Z38">
            <v>13205</v>
          </cell>
          <cell r="AA38">
            <v>13190</v>
          </cell>
          <cell r="AB38">
            <v>13109</v>
          </cell>
          <cell r="AC38">
            <v>13014</v>
          </cell>
          <cell r="AD38">
            <v>12930</v>
          </cell>
          <cell r="AE38">
            <v>12865</v>
          </cell>
          <cell r="AF38">
            <v>12817</v>
          </cell>
          <cell r="AG38">
            <v>12787</v>
          </cell>
          <cell r="AH38">
            <v>12787</v>
          </cell>
          <cell r="AI38">
            <v>12804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69314</v>
          </cell>
          <cell r="F41">
            <v>169623</v>
          </cell>
          <cell r="G41">
            <v>252744</v>
          </cell>
          <cell r="H41">
            <v>299980</v>
          </cell>
          <cell r="I41">
            <v>330323</v>
          </cell>
          <cell r="J41">
            <v>345475</v>
          </cell>
          <cell r="K41">
            <v>354332</v>
          </cell>
          <cell r="L41">
            <v>362325</v>
          </cell>
          <cell r="M41">
            <v>370978</v>
          </cell>
          <cell r="N41">
            <v>381781</v>
          </cell>
          <cell r="O41">
            <v>409830</v>
          </cell>
          <cell r="P41">
            <v>476810</v>
          </cell>
          <cell r="T41">
            <v>38</v>
          </cell>
          <cell r="U41" t="str">
            <v>Residential</v>
          </cell>
          <cell r="X41">
            <v>101939</v>
          </cell>
          <cell r="Y41">
            <v>224718</v>
          </cell>
          <cell r="Z41">
            <v>348552</v>
          </cell>
          <cell r="AA41">
            <v>411109</v>
          </cell>
          <cell r="AB41">
            <v>434925</v>
          </cell>
          <cell r="AC41">
            <v>445851</v>
          </cell>
          <cell r="AD41">
            <v>455068</v>
          </cell>
          <cell r="AE41">
            <v>463611</v>
          </cell>
          <cell r="AF41">
            <v>472162</v>
          </cell>
          <cell r="AG41">
            <v>486261</v>
          </cell>
          <cell r="AH41">
            <v>514915</v>
          </cell>
          <cell r="AI41">
            <v>560347</v>
          </cell>
        </row>
        <row r="42">
          <cell r="A42">
            <v>39</v>
          </cell>
          <cell r="B42" t="str">
            <v>Commercial</v>
          </cell>
          <cell r="E42">
            <v>95392</v>
          </cell>
          <cell r="F42">
            <v>220944</v>
          </cell>
          <cell r="G42">
            <v>327476</v>
          </cell>
          <cell r="H42">
            <v>397140</v>
          </cell>
          <cell r="I42">
            <v>451967</v>
          </cell>
          <cell r="J42">
            <v>492696</v>
          </cell>
          <cell r="K42">
            <v>525547</v>
          </cell>
          <cell r="L42">
            <v>558127</v>
          </cell>
          <cell r="M42">
            <v>595172</v>
          </cell>
          <cell r="N42">
            <v>639659</v>
          </cell>
          <cell r="O42">
            <v>700992</v>
          </cell>
          <cell r="P42">
            <v>804855</v>
          </cell>
          <cell r="T42">
            <v>39</v>
          </cell>
          <cell r="U42" t="str">
            <v>Commercial</v>
          </cell>
          <cell r="X42">
            <v>130027</v>
          </cell>
          <cell r="Y42">
            <v>284755</v>
          </cell>
          <cell r="Z42">
            <v>425525</v>
          </cell>
          <cell r="AA42">
            <v>510916</v>
          </cell>
          <cell r="AB42">
            <v>556426</v>
          </cell>
          <cell r="AC42">
            <v>590394</v>
          </cell>
          <cell r="AD42">
            <v>623168</v>
          </cell>
          <cell r="AE42">
            <v>653756</v>
          </cell>
          <cell r="AF42">
            <v>687017</v>
          </cell>
          <cell r="AG42">
            <v>734278</v>
          </cell>
          <cell r="AH42">
            <v>788274</v>
          </cell>
          <cell r="AI42">
            <v>861998</v>
          </cell>
        </row>
        <row r="43">
          <cell r="A43">
            <v>40</v>
          </cell>
          <cell r="B43" t="str">
            <v xml:space="preserve">Industrial </v>
          </cell>
          <cell r="E43">
            <v>140418</v>
          </cell>
          <cell r="F43">
            <v>278282</v>
          </cell>
          <cell r="G43">
            <v>420909</v>
          </cell>
          <cell r="H43">
            <v>551626</v>
          </cell>
          <cell r="I43">
            <v>670960</v>
          </cell>
          <cell r="J43">
            <v>804053</v>
          </cell>
          <cell r="K43">
            <v>916428</v>
          </cell>
          <cell r="L43">
            <v>1047484</v>
          </cell>
          <cell r="M43">
            <v>1188757</v>
          </cell>
          <cell r="N43">
            <v>1338366</v>
          </cell>
          <cell r="O43">
            <v>1482580</v>
          </cell>
          <cell r="P43">
            <v>1640298</v>
          </cell>
          <cell r="T43">
            <v>40</v>
          </cell>
          <cell r="U43" t="str">
            <v xml:space="preserve">Industrial </v>
          </cell>
          <cell r="X43">
            <v>124081</v>
          </cell>
          <cell r="Y43">
            <v>247112</v>
          </cell>
          <cell r="Z43">
            <v>373788</v>
          </cell>
          <cell r="AA43">
            <v>493820</v>
          </cell>
          <cell r="AB43">
            <v>597334</v>
          </cell>
          <cell r="AC43">
            <v>704923</v>
          </cell>
          <cell r="AD43">
            <v>803988</v>
          </cell>
          <cell r="AE43">
            <v>905930</v>
          </cell>
          <cell r="AF43">
            <v>1028786</v>
          </cell>
          <cell r="AG43">
            <v>1163549</v>
          </cell>
          <cell r="AH43">
            <v>1287532</v>
          </cell>
          <cell r="AI43">
            <v>1431238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305124</v>
          </cell>
          <cell r="F45">
            <v>668849</v>
          </cell>
          <cell r="G45">
            <v>1001129</v>
          </cell>
          <cell r="H45">
            <v>1248746</v>
          </cell>
          <cell r="I45">
            <v>1453250</v>
          </cell>
          <cell r="J45">
            <v>1642224</v>
          </cell>
          <cell r="K45">
            <v>1796307</v>
          </cell>
          <cell r="L45">
            <v>1967936</v>
          </cell>
          <cell r="M45">
            <v>2154907</v>
          </cell>
          <cell r="N45">
            <v>2359806</v>
          </cell>
          <cell r="O45">
            <v>2593402</v>
          </cell>
          <cell r="P45">
            <v>2921963</v>
          </cell>
          <cell r="T45">
            <v>42</v>
          </cell>
          <cell r="U45" t="str">
            <v>Total Volume</v>
          </cell>
          <cell r="X45">
            <v>356047</v>
          </cell>
          <cell r="Y45">
            <v>756585</v>
          </cell>
          <cell r="Z45">
            <v>1147865</v>
          </cell>
          <cell r="AA45">
            <v>1415845</v>
          </cell>
          <cell r="AB45">
            <v>1588685</v>
          </cell>
          <cell r="AC45">
            <v>1741168</v>
          </cell>
          <cell r="AD45">
            <v>1882224</v>
          </cell>
          <cell r="AE45">
            <v>2023297</v>
          </cell>
          <cell r="AF45">
            <v>2187965</v>
          </cell>
          <cell r="AG45">
            <v>2384088</v>
          </cell>
          <cell r="AH45">
            <v>2590721</v>
          </cell>
          <cell r="AI45">
            <v>2853583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73446</v>
          </cell>
          <cell r="F48">
            <v>179495</v>
          </cell>
          <cell r="G48">
            <v>267108</v>
          </cell>
          <cell r="H48">
            <v>316986</v>
          </cell>
          <cell r="I48">
            <v>348883</v>
          </cell>
          <cell r="J48">
            <v>364824</v>
          </cell>
          <cell r="K48">
            <v>374183</v>
          </cell>
          <cell r="L48">
            <v>382620</v>
          </cell>
          <cell r="M48">
            <v>391742</v>
          </cell>
          <cell r="N48">
            <v>403114</v>
          </cell>
          <cell r="O48">
            <v>432629</v>
          </cell>
          <cell r="P48">
            <v>503128</v>
          </cell>
          <cell r="T48">
            <v>45</v>
          </cell>
          <cell r="U48" t="str">
            <v>Residential</v>
          </cell>
          <cell r="X48">
            <v>108244</v>
          </cell>
          <cell r="Y48">
            <v>238931</v>
          </cell>
          <cell r="Z48">
            <v>370637</v>
          </cell>
          <cell r="AA48">
            <v>436850</v>
          </cell>
          <cell r="AB48">
            <v>462068</v>
          </cell>
          <cell r="AC48">
            <v>473683</v>
          </cell>
          <cell r="AD48">
            <v>483438</v>
          </cell>
          <cell r="AE48">
            <v>492464</v>
          </cell>
          <cell r="AF48">
            <v>501486</v>
          </cell>
          <cell r="AG48">
            <v>516424</v>
          </cell>
          <cell r="AH48">
            <v>546641</v>
          </cell>
          <cell r="AI48">
            <v>594584</v>
          </cell>
        </row>
        <row r="49">
          <cell r="A49">
            <v>46</v>
          </cell>
          <cell r="B49" t="str">
            <v>Commercial</v>
          </cell>
          <cell r="E49">
            <v>101078</v>
          </cell>
          <cell r="F49">
            <v>233814</v>
          </cell>
          <cell r="G49">
            <v>346103</v>
          </cell>
          <cell r="H49">
            <v>419664</v>
          </cell>
          <cell r="I49">
            <v>477300</v>
          </cell>
          <cell r="J49">
            <v>520150</v>
          </cell>
          <cell r="K49">
            <v>554862</v>
          </cell>
          <cell r="L49">
            <v>589253</v>
          </cell>
          <cell r="M49">
            <v>628307</v>
          </cell>
          <cell r="N49">
            <v>675135</v>
          </cell>
          <cell r="O49">
            <v>739673</v>
          </cell>
          <cell r="P49">
            <v>848993</v>
          </cell>
          <cell r="T49">
            <v>46</v>
          </cell>
          <cell r="U49" t="str">
            <v>Commercial</v>
          </cell>
          <cell r="X49">
            <v>138069</v>
          </cell>
          <cell r="Y49">
            <v>302763</v>
          </cell>
          <cell r="Z49">
            <v>452482</v>
          </cell>
          <cell r="AA49">
            <v>542863</v>
          </cell>
          <cell r="AB49">
            <v>591053</v>
          </cell>
          <cell r="AC49">
            <v>627162</v>
          </cell>
          <cell r="AD49">
            <v>661849</v>
          </cell>
          <cell r="AE49">
            <v>694167</v>
          </cell>
          <cell r="AF49">
            <v>729260</v>
          </cell>
          <cell r="AG49">
            <v>779334</v>
          </cell>
          <cell r="AH49">
            <v>836275</v>
          </cell>
          <cell r="AI49">
            <v>914074</v>
          </cell>
        </row>
        <row r="50">
          <cell r="A50">
            <v>47</v>
          </cell>
          <cell r="B50" t="str">
            <v xml:space="preserve">Industrial </v>
          </cell>
          <cell r="E50">
            <v>148788</v>
          </cell>
          <cell r="F50">
            <v>294541</v>
          </cell>
          <cell r="G50">
            <v>444876</v>
          </cell>
          <cell r="H50">
            <v>582905</v>
          </cell>
          <cell r="I50">
            <v>708352</v>
          </cell>
          <cell r="J50">
            <v>848376</v>
          </cell>
          <cell r="K50">
            <v>967117</v>
          </cell>
          <cell r="L50">
            <v>1105458</v>
          </cell>
          <cell r="M50">
            <v>1254391</v>
          </cell>
          <cell r="N50">
            <v>1411874</v>
          </cell>
          <cell r="O50">
            <v>1563625</v>
          </cell>
          <cell r="P50">
            <v>1729630</v>
          </cell>
          <cell r="T50">
            <v>47</v>
          </cell>
          <cell r="U50" t="str">
            <v xml:space="preserve">Industrial </v>
          </cell>
          <cell r="X50">
            <v>131755</v>
          </cell>
          <cell r="Y50">
            <v>262710</v>
          </cell>
          <cell r="Z50">
            <v>397439</v>
          </cell>
          <cell r="AA50">
            <v>524486</v>
          </cell>
          <cell r="AB50">
            <v>634095</v>
          </cell>
          <cell r="AC50">
            <v>748465</v>
          </cell>
          <cell r="AD50">
            <v>853311</v>
          </cell>
          <cell r="AE50">
            <v>961018</v>
          </cell>
          <cell r="AF50">
            <v>1090640</v>
          </cell>
          <cell r="AG50">
            <v>1233425</v>
          </cell>
          <cell r="AH50">
            <v>1364170</v>
          </cell>
          <cell r="AI50">
            <v>1515820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323312</v>
          </cell>
          <cell r="F52">
            <v>707850</v>
          </cell>
          <cell r="G52">
            <v>1058087</v>
          </cell>
          <cell r="H52">
            <v>1319555</v>
          </cell>
          <cell r="I52">
            <v>1534535</v>
          </cell>
          <cell r="J52">
            <v>1733350</v>
          </cell>
          <cell r="K52">
            <v>1896162</v>
          </cell>
          <cell r="L52">
            <v>2077331</v>
          </cell>
          <cell r="M52">
            <v>2274440</v>
          </cell>
          <cell r="N52">
            <v>2490123</v>
          </cell>
          <cell r="O52">
            <v>2735927</v>
          </cell>
          <cell r="P52">
            <v>3081751</v>
          </cell>
          <cell r="T52">
            <v>49</v>
          </cell>
          <cell r="U52" t="str">
            <v>Total Volume</v>
          </cell>
          <cell r="W52">
            <v>0</v>
          </cell>
          <cell r="X52">
            <v>378068</v>
          </cell>
          <cell r="Y52">
            <v>804404</v>
          </cell>
          <cell r="Z52">
            <v>1220558</v>
          </cell>
          <cell r="AA52">
            <v>1504199</v>
          </cell>
          <cell r="AB52">
            <v>1687216</v>
          </cell>
          <cell r="AC52">
            <v>1849310</v>
          </cell>
          <cell r="AD52">
            <v>1998598</v>
          </cell>
          <cell r="AE52">
            <v>2147649</v>
          </cell>
          <cell r="AF52">
            <v>2321386</v>
          </cell>
          <cell r="AG52">
            <v>2529183</v>
          </cell>
          <cell r="AH52">
            <v>2747086</v>
          </cell>
          <cell r="AI52">
            <v>3024478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13274</v>
          </cell>
          <cell r="F55">
            <v>13277</v>
          </cell>
          <cell r="G55">
            <v>13278</v>
          </cell>
          <cell r="H55">
            <v>13272</v>
          </cell>
          <cell r="I55">
            <v>13225</v>
          </cell>
          <cell r="J55">
            <v>13118</v>
          </cell>
          <cell r="K55">
            <v>13037</v>
          </cell>
          <cell r="L55">
            <v>12976</v>
          </cell>
          <cell r="M55">
            <v>12928</v>
          </cell>
          <cell r="N55">
            <v>12900</v>
          </cell>
          <cell r="O55">
            <v>12911</v>
          </cell>
          <cell r="P55">
            <v>12953</v>
          </cell>
        </row>
        <row r="56">
          <cell r="A56">
            <v>53</v>
          </cell>
          <cell r="B56" t="str">
            <v>Cumulative Budget YTD Volume (Mcfs)</v>
          </cell>
          <cell r="E56">
            <v>349557</v>
          </cell>
          <cell r="F56">
            <v>725412</v>
          </cell>
          <cell r="G56">
            <v>1065873</v>
          </cell>
          <cell r="H56">
            <v>1332077</v>
          </cell>
          <cell r="I56">
            <v>1515376</v>
          </cell>
          <cell r="J56">
            <v>1673221</v>
          </cell>
          <cell r="K56">
            <v>1830143</v>
          </cell>
          <cell r="L56">
            <v>1975025</v>
          </cell>
          <cell r="M56">
            <v>2141361</v>
          </cell>
          <cell r="N56">
            <v>2341478</v>
          </cell>
          <cell r="O56">
            <v>2569643</v>
          </cell>
          <cell r="P56">
            <v>2895242</v>
          </cell>
        </row>
        <row r="57">
          <cell r="A57">
            <v>54</v>
          </cell>
          <cell r="B57" t="str">
            <v>Cumulative YTD Budget Volume (Dts) * 1.035</v>
          </cell>
          <cell r="E57">
            <v>361791.495</v>
          </cell>
          <cell r="F57">
            <v>750801.41999999993</v>
          </cell>
          <cell r="G57">
            <v>1103178.5549999999</v>
          </cell>
          <cell r="H57">
            <v>1378699.6949999998</v>
          </cell>
          <cell r="I57">
            <v>1568414.16</v>
          </cell>
          <cell r="J57">
            <v>1731783.7349999999</v>
          </cell>
          <cell r="K57">
            <v>1894198.0049999999</v>
          </cell>
          <cell r="L57">
            <v>2044150.875</v>
          </cell>
          <cell r="M57">
            <v>2216308.6349999998</v>
          </cell>
          <cell r="N57">
            <v>2423429.7299999995</v>
          </cell>
          <cell r="O57">
            <v>2659580.5049999994</v>
          </cell>
          <cell r="P57">
            <v>2996575.4699999993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15340.166666666666</v>
          </cell>
          <cell r="E5">
            <v>15167</v>
          </cell>
          <cell r="F5">
            <v>15242</v>
          </cell>
          <cell r="G5">
            <v>15317</v>
          </cell>
          <cell r="H5">
            <v>15377</v>
          </cell>
          <cell r="I5">
            <v>15338</v>
          </cell>
          <cell r="J5">
            <v>15270</v>
          </cell>
          <cell r="K5">
            <v>15270</v>
          </cell>
          <cell r="L5">
            <v>15406</v>
          </cell>
          <cell r="M5">
            <v>15336</v>
          </cell>
          <cell r="N5">
            <v>15377</v>
          </cell>
          <cell r="O5">
            <v>15435</v>
          </cell>
          <cell r="P5">
            <v>15547</v>
          </cell>
          <cell r="T5">
            <v>2</v>
          </cell>
          <cell r="U5" t="str">
            <v>Residential</v>
          </cell>
          <cell r="V5">
            <v>14854</v>
          </cell>
          <cell r="W5">
            <v>178247</v>
          </cell>
          <cell r="X5">
            <v>14722</v>
          </cell>
          <cell r="Y5">
            <v>14793</v>
          </cell>
          <cell r="Z5">
            <v>14867</v>
          </cell>
          <cell r="AA5">
            <v>14917</v>
          </cell>
          <cell r="AB5">
            <v>14834</v>
          </cell>
          <cell r="AC5">
            <v>14749</v>
          </cell>
          <cell r="AD5">
            <v>14777</v>
          </cell>
          <cell r="AE5">
            <v>14791</v>
          </cell>
          <cell r="AF5">
            <v>14799</v>
          </cell>
          <cell r="AG5">
            <v>14918</v>
          </cell>
          <cell r="AH5">
            <v>14987</v>
          </cell>
          <cell r="AI5">
            <v>15093</v>
          </cell>
        </row>
        <row r="6">
          <cell r="A6">
            <v>3</v>
          </cell>
          <cell r="B6" t="str">
            <v>Commercial</v>
          </cell>
          <cell r="D6">
            <v>1393.4166666666667</v>
          </cell>
          <cell r="E6">
            <v>1381</v>
          </cell>
          <cell r="F6">
            <v>1377</v>
          </cell>
          <cell r="G6">
            <v>1377</v>
          </cell>
          <cell r="H6">
            <v>1381</v>
          </cell>
          <cell r="I6">
            <v>1388</v>
          </cell>
          <cell r="J6">
            <v>1394</v>
          </cell>
          <cell r="K6">
            <v>1389</v>
          </cell>
          <cell r="L6">
            <v>1434</v>
          </cell>
          <cell r="M6">
            <v>1402</v>
          </cell>
          <cell r="N6">
            <v>1398</v>
          </cell>
          <cell r="O6">
            <v>1399</v>
          </cell>
          <cell r="P6">
            <v>1401</v>
          </cell>
          <cell r="T6">
            <v>3</v>
          </cell>
          <cell r="U6" t="str">
            <v>Commercial</v>
          </cell>
          <cell r="V6">
            <v>1360</v>
          </cell>
          <cell r="W6">
            <v>16323</v>
          </cell>
          <cell r="X6">
            <v>1355</v>
          </cell>
          <cell r="Y6">
            <v>1353</v>
          </cell>
          <cell r="Z6">
            <v>1355</v>
          </cell>
          <cell r="AA6">
            <v>1352</v>
          </cell>
          <cell r="AB6">
            <v>1353</v>
          </cell>
          <cell r="AC6">
            <v>1325</v>
          </cell>
          <cell r="AD6">
            <v>1353</v>
          </cell>
          <cell r="AE6">
            <v>1354</v>
          </cell>
          <cell r="AF6">
            <v>1359</v>
          </cell>
          <cell r="AG6">
            <v>1383</v>
          </cell>
          <cell r="AH6">
            <v>1386</v>
          </cell>
          <cell r="AI6">
            <v>1395</v>
          </cell>
        </row>
        <row r="7">
          <cell r="A7">
            <v>4</v>
          </cell>
          <cell r="B7" t="str">
            <v xml:space="preserve">Industrial </v>
          </cell>
          <cell r="D7">
            <v>72.5</v>
          </cell>
          <cell r="E7">
            <v>72</v>
          </cell>
          <cell r="F7">
            <v>71</v>
          </cell>
          <cell r="G7">
            <v>72</v>
          </cell>
          <cell r="H7">
            <v>72</v>
          </cell>
          <cell r="I7">
            <v>71</v>
          </cell>
          <cell r="J7">
            <v>72</v>
          </cell>
          <cell r="K7">
            <v>72</v>
          </cell>
          <cell r="L7">
            <v>77</v>
          </cell>
          <cell r="M7">
            <v>72</v>
          </cell>
          <cell r="N7">
            <v>71</v>
          </cell>
          <cell r="O7">
            <v>72</v>
          </cell>
          <cell r="P7">
            <v>76</v>
          </cell>
          <cell r="T7">
            <v>4</v>
          </cell>
          <cell r="U7" t="str">
            <v xml:space="preserve">Industrial </v>
          </cell>
          <cell r="V7">
            <v>69</v>
          </cell>
          <cell r="W7">
            <v>831</v>
          </cell>
          <cell r="X7">
            <v>67</v>
          </cell>
          <cell r="Y7">
            <v>66</v>
          </cell>
          <cell r="Z7">
            <v>67</v>
          </cell>
          <cell r="AA7">
            <v>65</v>
          </cell>
          <cell r="AB7">
            <v>69</v>
          </cell>
          <cell r="AC7">
            <v>67</v>
          </cell>
          <cell r="AD7">
            <v>67</v>
          </cell>
          <cell r="AE7">
            <v>70</v>
          </cell>
          <cell r="AF7">
            <v>71</v>
          </cell>
          <cell r="AG7">
            <v>77</v>
          </cell>
          <cell r="AH7">
            <v>74</v>
          </cell>
          <cell r="AI7">
            <v>71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16806.083333333332</v>
          </cell>
          <cell r="E9">
            <v>16620</v>
          </cell>
          <cell r="F9">
            <v>16690</v>
          </cell>
          <cell r="G9">
            <v>16766</v>
          </cell>
          <cell r="H9">
            <v>16830</v>
          </cell>
          <cell r="I9">
            <v>16797</v>
          </cell>
          <cell r="J9">
            <v>16736</v>
          </cell>
          <cell r="K9">
            <v>16731</v>
          </cell>
          <cell r="L9">
            <v>16917</v>
          </cell>
          <cell r="M9">
            <v>16810</v>
          </cell>
          <cell r="N9">
            <v>16846</v>
          </cell>
          <cell r="O9">
            <v>16906</v>
          </cell>
          <cell r="P9">
            <v>17024</v>
          </cell>
          <cell r="T9">
            <v>6</v>
          </cell>
          <cell r="U9" t="str">
            <v>Total customers</v>
          </cell>
          <cell r="V9">
            <v>16283</v>
          </cell>
          <cell r="W9">
            <v>195401</v>
          </cell>
          <cell r="X9">
            <v>16144</v>
          </cell>
          <cell r="Y9">
            <v>16212</v>
          </cell>
          <cell r="Z9">
            <v>16289</v>
          </cell>
          <cell r="AA9">
            <v>16334</v>
          </cell>
          <cell r="AB9">
            <v>16256</v>
          </cell>
          <cell r="AC9">
            <v>16141</v>
          </cell>
          <cell r="AD9">
            <v>16197</v>
          </cell>
          <cell r="AE9">
            <v>16215</v>
          </cell>
          <cell r="AF9">
            <v>16229</v>
          </cell>
          <cell r="AG9">
            <v>16378</v>
          </cell>
          <cell r="AH9">
            <v>16447</v>
          </cell>
          <cell r="AI9">
            <v>16559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333977.77583016874</v>
          </cell>
          <cell r="E12">
            <v>44786.63940013633</v>
          </cell>
          <cell r="F12">
            <v>48583.01684682053</v>
          </cell>
          <cell r="G12">
            <v>41474.924530139251</v>
          </cell>
          <cell r="H12">
            <v>33215.989872431586</v>
          </cell>
          <cell r="I12">
            <v>21696.854610965042</v>
          </cell>
          <cell r="J12">
            <v>17788.100107118513</v>
          </cell>
          <cell r="K12">
            <v>15159.801343850424</v>
          </cell>
          <cell r="L12">
            <v>14602.103418054337</v>
          </cell>
          <cell r="M12">
            <v>16272.957444736585</v>
          </cell>
          <cell r="N12">
            <v>19910.291167592073</v>
          </cell>
          <cell r="O12">
            <v>26910.994254552537</v>
          </cell>
          <cell r="P12">
            <v>33576.102833771547</v>
          </cell>
          <cell r="T12">
            <v>9</v>
          </cell>
          <cell r="U12" t="str">
            <v>Residential</v>
          </cell>
          <cell r="W12">
            <v>318645.11709806212</v>
          </cell>
          <cell r="X12">
            <v>43486.8</v>
          </cell>
          <cell r="Y12">
            <v>55519.62</v>
          </cell>
          <cell r="Z12">
            <v>38026.758204304249</v>
          </cell>
          <cell r="AA12">
            <v>30865.13</v>
          </cell>
          <cell r="AB12">
            <v>18049.37</v>
          </cell>
          <cell r="AC12">
            <v>15426.915960658293</v>
          </cell>
          <cell r="AD12">
            <v>15689.551076054144</v>
          </cell>
          <cell r="AE12">
            <v>16261.174408413672</v>
          </cell>
          <cell r="AF12">
            <v>15259.518940500535</v>
          </cell>
          <cell r="AG12">
            <v>17805.044308111792</v>
          </cell>
          <cell r="AH12">
            <v>21867.075664621676</v>
          </cell>
          <cell r="AI12">
            <v>30388.158535397797</v>
          </cell>
        </row>
        <row r="13">
          <cell r="A13">
            <v>10</v>
          </cell>
          <cell r="B13" t="str">
            <v>Commercial</v>
          </cell>
          <cell r="D13">
            <v>5901711.5220566764</v>
          </cell>
          <cell r="E13">
            <v>477194.66355049179</v>
          </cell>
          <cell r="F13">
            <v>459042.06836108677</v>
          </cell>
          <cell r="G13">
            <v>473586.13302171585</v>
          </cell>
          <cell r="H13">
            <v>468207.22563053848</v>
          </cell>
          <cell r="I13">
            <v>437356.60726458271</v>
          </cell>
          <cell r="J13">
            <v>415324.86123283667</v>
          </cell>
          <cell r="K13">
            <v>404361.76842925308</v>
          </cell>
          <cell r="L13">
            <v>442360.21034180542</v>
          </cell>
          <cell r="M13">
            <v>432821.50160677766</v>
          </cell>
          <cell r="N13">
            <v>450033.36449508229</v>
          </cell>
          <cell r="O13">
            <v>467871.84730743011</v>
          </cell>
          <cell r="P13">
            <v>973551.27081507444</v>
          </cell>
          <cell r="T13">
            <v>10</v>
          </cell>
          <cell r="U13" t="str">
            <v>Commercial</v>
          </cell>
          <cell r="W13">
            <v>5274821.3954163007</v>
          </cell>
          <cell r="X13">
            <v>461002.04</v>
          </cell>
          <cell r="Y13">
            <v>449692.76</v>
          </cell>
          <cell r="Z13">
            <v>443954.23</v>
          </cell>
          <cell r="AA13">
            <v>460692.86</v>
          </cell>
          <cell r="AB13">
            <v>444848.48</v>
          </cell>
          <cell r="AC13">
            <v>431929.59392345895</v>
          </cell>
          <cell r="AD13">
            <v>433293.79686434899</v>
          </cell>
          <cell r="AE13">
            <v>406641.0556042458</v>
          </cell>
          <cell r="AF13">
            <v>430907.29379686434</v>
          </cell>
          <cell r="AG13">
            <v>452550.39439088519</v>
          </cell>
          <cell r="AH13">
            <v>419030.28532476386</v>
          </cell>
          <cell r="AI13">
            <v>440278.60551173432</v>
          </cell>
        </row>
        <row r="14">
          <cell r="A14">
            <v>11</v>
          </cell>
          <cell r="B14" t="str">
            <v xml:space="preserve">Industrial </v>
          </cell>
          <cell r="D14">
            <v>10717532.314369461</v>
          </cell>
          <cell r="E14">
            <v>1095256.6949070017</v>
          </cell>
          <cell r="F14">
            <v>994717.79141104291</v>
          </cell>
          <cell r="G14">
            <v>1117554.6791313663</v>
          </cell>
          <cell r="H14">
            <v>957915.76589736098</v>
          </cell>
          <cell r="I14">
            <v>1031289.0252215406</v>
          </cell>
          <cell r="J14">
            <v>735340.44210731331</v>
          </cell>
          <cell r="K14">
            <v>700236.63453111309</v>
          </cell>
          <cell r="L14">
            <v>892407.05034570058</v>
          </cell>
          <cell r="M14">
            <v>660522.05667543085</v>
          </cell>
          <cell r="N14">
            <v>1023739.54</v>
          </cell>
          <cell r="O14">
            <v>890485.44162041089</v>
          </cell>
          <cell r="P14">
            <v>618067.19252118026</v>
          </cell>
          <cell r="T14">
            <v>11</v>
          </cell>
          <cell r="U14" t="str">
            <v xml:space="preserve">Industrial </v>
          </cell>
          <cell r="W14">
            <v>10714720.026967572</v>
          </cell>
          <cell r="X14">
            <v>856208.39</v>
          </cell>
          <cell r="Y14">
            <v>943253.87</v>
          </cell>
          <cell r="Z14">
            <v>962052</v>
          </cell>
          <cell r="AA14">
            <v>590945.76</v>
          </cell>
          <cell r="AB14">
            <v>1268224.95</v>
          </cell>
          <cell r="AC14">
            <v>914274.32077125332</v>
          </cell>
          <cell r="AD14">
            <v>1132266.7250949459</v>
          </cell>
          <cell r="AE14">
            <v>663005.4533060668</v>
          </cell>
          <cell r="AF14">
            <v>643011.97779725387</v>
          </cell>
          <cell r="AG14">
            <v>788107.21589249198</v>
          </cell>
          <cell r="AH14">
            <v>816880.1246469958</v>
          </cell>
          <cell r="AI14">
            <v>1136489.2394585647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16953221.612256303</v>
          </cell>
          <cell r="E16">
            <v>1617237.9978576298</v>
          </cell>
          <cell r="F16">
            <v>1502342.8766189502</v>
          </cell>
          <cell r="G16">
            <v>1632615.7366832215</v>
          </cell>
          <cell r="H16">
            <v>1459338.981400331</v>
          </cell>
          <cell r="I16">
            <v>1490342.4870970882</v>
          </cell>
          <cell r="J16">
            <v>1168453.4034472685</v>
          </cell>
          <cell r="K16">
            <v>1119758.2043042167</v>
          </cell>
          <cell r="L16">
            <v>1349369.3641055604</v>
          </cell>
          <cell r="M16">
            <v>1109616.5157269451</v>
          </cell>
          <cell r="N16">
            <v>1493683.1956626745</v>
          </cell>
          <cell r="O16">
            <v>1385268.2831823935</v>
          </cell>
          <cell r="P16">
            <v>1625194.5661700261</v>
          </cell>
          <cell r="T16">
            <v>13</v>
          </cell>
          <cell r="U16" t="str">
            <v>Total Deliveries</v>
          </cell>
          <cell r="W16">
            <v>16308186.539481934</v>
          </cell>
          <cell r="X16">
            <v>1360697.23</v>
          </cell>
          <cell r="Y16">
            <v>1448466.25</v>
          </cell>
          <cell r="Z16">
            <v>1444032.9882043041</v>
          </cell>
          <cell r="AA16">
            <v>1082503.75</v>
          </cell>
          <cell r="AB16">
            <v>1731122.7999999998</v>
          </cell>
          <cell r="AC16">
            <v>1361630.8306553706</v>
          </cell>
          <cell r="AD16">
            <v>1581250.0730353491</v>
          </cell>
          <cell r="AE16">
            <v>1085907.6833187263</v>
          </cell>
          <cell r="AF16">
            <v>1089178.7905346188</v>
          </cell>
          <cell r="AG16">
            <v>1258462.6545914889</v>
          </cell>
          <cell r="AH16">
            <v>1257777.4856363814</v>
          </cell>
          <cell r="AI16">
            <v>1607156.0035056968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342964</v>
          </cell>
          <cell r="E21">
            <v>45991</v>
          </cell>
          <cell r="F21">
            <v>49890</v>
          </cell>
          <cell r="G21">
            <v>42591</v>
          </cell>
          <cell r="H21">
            <v>34110</v>
          </cell>
          <cell r="I21">
            <v>22281</v>
          </cell>
          <cell r="J21">
            <v>18267</v>
          </cell>
          <cell r="K21">
            <v>15568</v>
          </cell>
          <cell r="L21">
            <v>14995</v>
          </cell>
          <cell r="M21">
            <v>16711</v>
          </cell>
          <cell r="N21">
            <v>20446</v>
          </cell>
          <cell r="O21">
            <v>27635</v>
          </cell>
          <cell r="P21">
            <v>34479</v>
          </cell>
          <cell r="T21">
            <v>18</v>
          </cell>
          <cell r="U21" t="str">
            <v>Residential</v>
          </cell>
          <cell r="W21">
            <v>327218</v>
          </cell>
          <cell r="X21">
            <v>44657</v>
          </cell>
          <cell r="Y21">
            <v>57013</v>
          </cell>
          <cell r="Z21">
            <v>39050</v>
          </cell>
          <cell r="AA21">
            <v>31695</v>
          </cell>
          <cell r="AB21">
            <v>18535</v>
          </cell>
          <cell r="AC21">
            <v>15842</v>
          </cell>
          <cell r="AD21">
            <v>16112</v>
          </cell>
          <cell r="AE21">
            <v>16699</v>
          </cell>
          <cell r="AF21">
            <v>15670</v>
          </cell>
          <cell r="AG21">
            <v>18284</v>
          </cell>
          <cell r="AH21">
            <v>22455</v>
          </cell>
          <cell r="AI21">
            <v>31206</v>
          </cell>
        </row>
        <row r="22">
          <cell r="A22">
            <v>19</v>
          </cell>
          <cell r="B22" t="str">
            <v>Commercial</v>
          </cell>
          <cell r="D22">
            <v>6060468</v>
          </cell>
          <cell r="E22">
            <v>490031</v>
          </cell>
          <cell r="F22">
            <v>471390</v>
          </cell>
          <cell r="G22">
            <v>486326</v>
          </cell>
          <cell r="H22">
            <v>480802</v>
          </cell>
          <cell r="I22">
            <v>449122</v>
          </cell>
          <cell r="J22">
            <v>426497</v>
          </cell>
          <cell r="K22">
            <v>415239</v>
          </cell>
          <cell r="L22">
            <v>454260</v>
          </cell>
          <cell r="M22">
            <v>444464</v>
          </cell>
          <cell r="N22">
            <v>462139</v>
          </cell>
          <cell r="O22">
            <v>480458</v>
          </cell>
          <cell r="P22">
            <v>999740</v>
          </cell>
          <cell r="T22">
            <v>19</v>
          </cell>
          <cell r="U22" t="str">
            <v>Commercial</v>
          </cell>
          <cell r="W22">
            <v>5416714</v>
          </cell>
          <cell r="X22">
            <v>473403</v>
          </cell>
          <cell r="Y22">
            <v>461789</v>
          </cell>
          <cell r="Z22">
            <v>455897</v>
          </cell>
          <cell r="AA22">
            <v>473085</v>
          </cell>
          <cell r="AB22">
            <v>456815</v>
          </cell>
          <cell r="AC22">
            <v>443549</v>
          </cell>
          <cell r="AD22">
            <v>444949</v>
          </cell>
          <cell r="AE22">
            <v>417580</v>
          </cell>
          <cell r="AF22">
            <v>442499</v>
          </cell>
          <cell r="AG22">
            <v>464724</v>
          </cell>
          <cell r="AH22">
            <v>430302</v>
          </cell>
          <cell r="AI22">
            <v>452122</v>
          </cell>
        </row>
        <row r="23">
          <cell r="A23">
            <v>20</v>
          </cell>
          <cell r="B23" t="str">
            <v xml:space="preserve">Industrial </v>
          </cell>
          <cell r="D23">
            <v>11005835</v>
          </cell>
          <cell r="E23">
            <v>1124719</v>
          </cell>
          <cell r="F23">
            <v>1021476</v>
          </cell>
          <cell r="G23">
            <v>1147617</v>
          </cell>
          <cell r="H23">
            <v>983684</v>
          </cell>
          <cell r="I23">
            <v>1059031</v>
          </cell>
          <cell r="J23">
            <v>755121</v>
          </cell>
          <cell r="K23">
            <v>719073</v>
          </cell>
          <cell r="L23">
            <v>916413</v>
          </cell>
          <cell r="M23">
            <v>678290</v>
          </cell>
          <cell r="N23">
            <v>1051278</v>
          </cell>
          <cell r="O23">
            <v>914440</v>
          </cell>
          <cell r="P23">
            <v>634693</v>
          </cell>
          <cell r="T23">
            <v>20</v>
          </cell>
          <cell r="U23" t="str">
            <v xml:space="preserve">Industrial </v>
          </cell>
          <cell r="W23">
            <v>11002944</v>
          </cell>
          <cell r="X23">
            <v>879240</v>
          </cell>
          <cell r="Y23">
            <v>968627</v>
          </cell>
          <cell r="Z23">
            <v>987931</v>
          </cell>
          <cell r="AA23">
            <v>606842</v>
          </cell>
          <cell r="AB23">
            <v>1302340</v>
          </cell>
          <cell r="AC23">
            <v>938868</v>
          </cell>
          <cell r="AD23">
            <v>1162725</v>
          </cell>
          <cell r="AE23">
            <v>680840</v>
          </cell>
          <cell r="AF23">
            <v>660309</v>
          </cell>
          <cell r="AG23">
            <v>809307</v>
          </cell>
          <cell r="AH23">
            <v>838854</v>
          </cell>
          <cell r="AI23">
            <v>1167061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17409267</v>
          </cell>
          <cell r="E25">
            <v>1660741</v>
          </cell>
          <cell r="F25">
            <v>1542756</v>
          </cell>
          <cell r="G25">
            <v>1676534</v>
          </cell>
          <cell r="H25">
            <v>1498596</v>
          </cell>
          <cell r="I25">
            <v>1530434</v>
          </cell>
          <cell r="J25">
            <v>1199885</v>
          </cell>
          <cell r="K25">
            <v>1149880</v>
          </cell>
          <cell r="L25">
            <v>1385668</v>
          </cell>
          <cell r="M25">
            <v>1139465</v>
          </cell>
          <cell r="N25">
            <v>1533863</v>
          </cell>
          <cell r="O25">
            <v>1422533</v>
          </cell>
          <cell r="P25">
            <v>1668912</v>
          </cell>
          <cell r="T25">
            <v>22</v>
          </cell>
          <cell r="U25" t="str">
            <v>Total Deliveries</v>
          </cell>
          <cell r="W25">
            <v>16746876</v>
          </cell>
          <cell r="X25">
            <v>1397300</v>
          </cell>
          <cell r="Y25">
            <v>1487429</v>
          </cell>
          <cell r="Z25">
            <v>1482878</v>
          </cell>
          <cell r="AA25">
            <v>1111622</v>
          </cell>
          <cell r="AB25">
            <v>1777690</v>
          </cell>
          <cell r="AC25">
            <v>1398259</v>
          </cell>
          <cell r="AD25">
            <v>1623786</v>
          </cell>
          <cell r="AE25">
            <v>1115119</v>
          </cell>
          <cell r="AF25">
            <v>1118478</v>
          </cell>
          <cell r="AG25">
            <v>1292315</v>
          </cell>
          <cell r="AH25">
            <v>1291611</v>
          </cell>
          <cell r="AI25">
            <v>1650389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16484</v>
          </cell>
          <cell r="F28">
            <v>16562</v>
          </cell>
          <cell r="G28">
            <v>16648</v>
          </cell>
          <cell r="H28">
            <v>16704</v>
          </cell>
          <cell r="I28">
            <v>16595</v>
          </cell>
          <cell r="J28">
            <v>16550</v>
          </cell>
          <cell r="K28">
            <v>16570</v>
          </cell>
          <cell r="L28">
            <v>16592</v>
          </cell>
          <cell r="M28">
            <v>16594</v>
          </cell>
          <cell r="N28">
            <v>16642</v>
          </cell>
          <cell r="O28">
            <v>16733</v>
          </cell>
          <cell r="P28">
            <v>16838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1531610.1859966891</v>
          </cell>
          <cell r="F29">
            <v>1502342.9739994158</v>
          </cell>
          <cell r="G29">
            <v>1435807.9657220761</v>
          </cell>
          <cell r="H29">
            <v>1342472.5873989677</v>
          </cell>
          <cell r="I29">
            <v>1564311.2279676697</v>
          </cell>
          <cell r="J29">
            <v>1230608.0436264486</v>
          </cell>
          <cell r="K29">
            <v>1131105.0735222513</v>
          </cell>
          <cell r="L29">
            <v>1193354.7570357386</v>
          </cell>
          <cell r="M29">
            <v>932745.62664329528</v>
          </cell>
          <cell r="N29">
            <v>1065895.3452137501</v>
          </cell>
          <cell r="O29">
            <v>1146834.1250365176</v>
          </cell>
          <cell r="P29">
            <v>14957368.6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1572811</v>
          </cell>
          <cell r="F30">
            <v>1542756</v>
          </cell>
          <cell r="G30">
            <v>1474431</v>
          </cell>
          <cell r="H30">
            <v>1378585</v>
          </cell>
          <cell r="I30">
            <v>1606391</v>
          </cell>
          <cell r="J30">
            <v>1263711</v>
          </cell>
          <cell r="K30">
            <v>1161532</v>
          </cell>
          <cell r="L30">
            <v>1225456</v>
          </cell>
          <cell r="M30">
            <v>957836</v>
          </cell>
          <cell r="N30">
            <v>1094568</v>
          </cell>
          <cell r="O30">
            <v>1177684</v>
          </cell>
          <cell r="P30">
            <v>15359722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15167</v>
          </cell>
          <cell r="F34">
            <v>15205</v>
          </cell>
          <cell r="G34">
            <v>15242</v>
          </cell>
          <cell r="H34">
            <v>15276</v>
          </cell>
          <cell r="I34">
            <v>15288</v>
          </cell>
          <cell r="J34">
            <v>15285</v>
          </cell>
          <cell r="K34">
            <v>15283</v>
          </cell>
          <cell r="L34">
            <v>15298</v>
          </cell>
          <cell r="M34">
            <v>15303</v>
          </cell>
          <cell r="N34">
            <v>15310</v>
          </cell>
          <cell r="O34">
            <v>15321</v>
          </cell>
          <cell r="P34">
            <v>15340</v>
          </cell>
          <cell r="T34">
            <v>31</v>
          </cell>
          <cell r="U34" t="str">
            <v>Residential</v>
          </cell>
          <cell r="X34">
            <v>14722</v>
          </cell>
          <cell r="Y34">
            <v>14758</v>
          </cell>
          <cell r="Z34">
            <v>14794</v>
          </cell>
          <cell r="AA34">
            <v>14825</v>
          </cell>
          <cell r="AB34">
            <v>14827</v>
          </cell>
          <cell r="AC34">
            <v>14814</v>
          </cell>
          <cell r="AD34">
            <v>14808</v>
          </cell>
          <cell r="AE34">
            <v>14806</v>
          </cell>
          <cell r="AF34">
            <v>14805</v>
          </cell>
          <cell r="AG34">
            <v>14817</v>
          </cell>
          <cell r="AH34">
            <v>14832</v>
          </cell>
          <cell r="AI34">
            <v>14854</v>
          </cell>
        </row>
        <row r="35">
          <cell r="A35">
            <v>32</v>
          </cell>
          <cell r="B35" t="str">
            <v>Commercial</v>
          </cell>
          <cell r="E35">
            <v>1381</v>
          </cell>
          <cell r="F35">
            <v>1379</v>
          </cell>
          <cell r="G35">
            <v>1378</v>
          </cell>
          <cell r="H35">
            <v>1379</v>
          </cell>
          <cell r="I35">
            <v>1381</v>
          </cell>
          <cell r="J35">
            <v>1383</v>
          </cell>
          <cell r="K35">
            <v>1384</v>
          </cell>
          <cell r="L35">
            <v>1390</v>
          </cell>
          <cell r="M35">
            <v>1391</v>
          </cell>
          <cell r="N35">
            <v>1392</v>
          </cell>
          <cell r="O35">
            <v>1393</v>
          </cell>
          <cell r="P35">
            <v>1393</v>
          </cell>
          <cell r="T35">
            <v>32</v>
          </cell>
          <cell r="U35" t="str">
            <v>Commercial</v>
          </cell>
          <cell r="X35">
            <v>1355</v>
          </cell>
          <cell r="Y35">
            <v>1354</v>
          </cell>
          <cell r="Z35">
            <v>1354</v>
          </cell>
          <cell r="AA35">
            <v>1354</v>
          </cell>
          <cell r="AB35">
            <v>1354</v>
          </cell>
          <cell r="AC35">
            <v>1349</v>
          </cell>
          <cell r="AD35">
            <v>1349</v>
          </cell>
          <cell r="AE35">
            <v>1350</v>
          </cell>
          <cell r="AF35">
            <v>1351</v>
          </cell>
          <cell r="AG35">
            <v>1354</v>
          </cell>
          <cell r="AH35">
            <v>1357</v>
          </cell>
          <cell r="AI35">
            <v>1360</v>
          </cell>
        </row>
        <row r="36">
          <cell r="A36">
            <v>33</v>
          </cell>
          <cell r="B36" t="str">
            <v xml:space="preserve">Industrial </v>
          </cell>
          <cell r="E36">
            <v>72</v>
          </cell>
          <cell r="F36">
            <v>72</v>
          </cell>
          <cell r="G36">
            <v>72</v>
          </cell>
          <cell r="H36">
            <v>72</v>
          </cell>
          <cell r="I36">
            <v>72</v>
          </cell>
          <cell r="J36">
            <v>72</v>
          </cell>
          <cell r="K36">
            <v>72</v>
          </cell>
          <cell r="L36">
            <v>72</v>
          </cell>
          <cell r="M36">
            <v>72</v>
          </cell>
          <cell r="N36">
            <v>72</v>
          </cell>
          <cell r="O36">
            <v>72</v>
          </cell>
          <cell r="P36">
            <v>73</v>
          </cell>
          <cell r="T36">
            <v>33</v>
          </cell>
          <cell r="U36" t="str">
            <v xml:space="preserve">Industrial </v>
          </cell>
          <cell r="X36">
            <v>67</v>
          </cell>
          <cell r="Y36">
            <v>67</v>
          </cell>
          <cell r="Z36">
            <v>67</v>
          </cell>
          <cell r="AA36">
            <v>66</v>
          </cell>
          <cell r="AB36">
            <v>67</v>
          </cell>
          <cell r="AC36">
            <v>67</v>
          </cell>
          <cell r="AD36">
            <v>67</v>
          </cell>
          <cell r="AE36">
            <v>67</v>
          </cell>
          <cell r="AF36">
            <v>68</v>
          </cell>
          <cell r="AG36">
            <v>69</v>
          </cell>
          <cell r="AH36">
            <v>69</v>
          </cell>
          <cell r="AI36">
            <v>69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16620</v>
          </cell>
          <cell r="F38">
            <v>16656</v>
          </cell>
          <cell r="G38">
            <v>16692</v>
          </cell>
          <cell r="H38">
            <v>16727</v>
          </cell>
          <cell r="I38">
            <v>16741</v>
          </cell>
          <cell r="J38">
            <v>16740</v>
          </cell>
          <cell r="K38">
            <v>16739</v>
          </cell>
          <cell r="L38">
            <v>16760</v>
          </cell>
          <cell r="M38">
            <v>16766</v>
          </cell>
          <cell r="N38">
            <v>16774</v>
          </cell>
          <cell r="O38">
            <v>16786</v>
          </cell>
          <cell r="P38">
            <v>16806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16144</v>
          </cell>
          <cell r="Y38">
            <v>16179</v>
          </cell>
          <cell r="Z38">
            <v>16215</v>
          </cell>
          <cell r="AA38">
            <v>16245</v>
          </cell>
          <cell r="AB38">
            <v>16248</v>
          </cell>
          <cell r="AC38">
            <v>16230</v>
          </cell>
          <cell r="AD38">
            <v>16224</v>
          </cell>
          <cell r="AE38">
            <v>16223</v>
          </cell>
          <cell r="AF38">
            <v>16224</v>
          </cell>
          <cell r="AG38">
            <v>16240</v>
          </cell>
          <cell r="AH38">
            <v>16258</v>
          </cell>
          <cell r="AI38">
            <v>16283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44786.63940013633</v>
          </cell>
          <cell r="F41">
            <v>93369.65624695686</v>
          </cell>
          <cell r="G41">
            <v>134844.5807770961</v>
          </cell>
          <cell r="H41">
            <v>168060.57064952768</v>
          </cell>
          <cell r="I41">
            <v>189757.42526049272</v>
          </cell>
          <cell r="J41">
            <v>207545.52536761123</v>
          </cell>
          <cell r="K41">
            <v>222705.32671146165</v>
          </cell>
          <cell r="L41">
            <v>237307.430129516</v>
          </cell>
          <cell r="M41">
            <v>253580.38757425259</v>
          </cell>
          <cell r="N41">
            <v>273490.67874184466</v>
          </cell>
          <cell r="O41">
            <v>300401.67299639719</v>
          </cell>
          <cell r="P41">
            <v>333977.77583016874</v>
          </cell>
          <cell r="T41">
            <v>38</v>
          </cell>
          <cell r="U41" t="str">
            <v>Residential</v>
          </cell>
          <cell r="X41">
            <v>43486.8</v>
          </cell>
          <cell r="Y41">
            <v>99006.420000000013</v>
          </cell>
          <cell r="Z41">
            <v>137033.17820430425</v>
          </cell>
          <cell r="AA41">
            <v>167898.30820430425</v>
          </cell>
          <cell r="AB41">
            <v>185947.67820430425</v>
          </cell>
          <cell r="AC41">
            <v>201374.59416496253</v>
          </cell>
          <cell r="AD41">
            <v>217064.14524101667</v>
          </cell>
          <cell r="AE41">
            <v>233325.31964943034</v>
          </cell>
          <cell r="AF41">
            <v>248584.83858993088</v>
          </cell>
          <cell r="AG41">
            <v>266389.88289804268</v>
          </cell>
          <cell r="AH41">
            <v>288256.95856266434</v>
          </cell>
          <cell r="AI41">
            <v>318645.11709806212</v>
          </cell>
        </row>
        <row r="42">
          <cell r="A42">
            <v>39</v>
          </cell>
          <cell r="B42" t="str">
            <v>Commercial</v>
          </cell>
          <cell r="E42">
            <v>477194.66355049179</v>
          </cell>
          <cell r="F42">
            <v>936236.73191157856</v>
          </cell>
          <cell r="G42">
            <v>1409822.8649332945</v>
          </cell>
          <cell r="H42">
            <v>1878030.090563833</v>
          </cell>
          <cell r="I42">
            <v>2315386.6978284158</v>
          </cell>
          <cell r="J42">
            <v>2730711.5590612525</v>
          </cell>
          <cell r="K42">
            <v>3135073.3274905058</v>
          </cell>
          <cell r="L42">
            <v>3577433.5378323114</v>
          </cell>
          <cell r="M42">
            <v>4010255.0394390891</v>
          </cell>
          <cell r="N42">
            <v>4460288.4039341714</v>
          </cell>
          <cell r="O42">
            <v>4928160.251241602</v>
          </cell>
          <cell r="P42">
            <v>5901711.5220566764</v>
          </cell>
          <cell r="T42">
            <v>39</v>
          </cell>
          <cell r="U42" t="str">
            <v>Commercial</v>
          </cell>
          <cell r="X42">
            <v>461002.04</v>
          </cell>
          <cell r="Y42">
            <v>910694.8</v>
          </cell>
          <cell r="Z42">
            <v>1354649.03</v>
          </cell>
          <cell r="AA42">
            <v>1815341.8900000001</v>
          </cell>
          <cell r="AB42">
            <v>2260190.37</v>
          </cell>
          <cell r="AC42">
            <v>2692119.9639234589</v>
          </cell>
          <cell r="AD42">
            <v>3125413.7607878079</v>
          </cell>
          <cell r="AE42">
            <v>3532054.8163920538</v>
          </cell>
          <cell r="AF42">
            <v>3962962.1101889182</v>
          </cell>
          <cell r="AG42">
            <v>4415512.504579803</v>
          </cell>
          <cell r="AH42">
            <v>4834542.7899045665</v>
          </cell>
          <cell r="AI42">
            <v>5274821.3954163007</v>
          </cell>
        </row>
        <row r="43">
          <cell r="A43">
            <v>40</v>
          </cell>
          <cell r="B43" t="str">
            <v xml:space="preserve">Industrial </v>
          </cell>
          <cell r="E43">
            <v>1095256.6949070017</v>
          </cell>
          <cell r="F43">
            <v>2089974.4863180446</v>
          </cell>
          <cell r="G43">
            <v>3207529.1654494107</v>
          </cell>
          <cell r="H43">
            <v>4165444.9313467718</v>
          </cell>
          <cell r="I43">
            <v>5196733.9565683119</v>
          </cell>
          <cell r="J43">
            <v>5932074.3986756252</v>
          </cell>
          <cell r="K43">
            <v>6632311.0332067385</v>
          </cell>
          <cell r="L43">
            <v>7524718.0835524388</v>
          </cell>
          <cell r="M43">
            <v>8185240.1402278692</v>
          </cell>
          <cell r="N43">
            <v>9208979.6802278683</v>
          </cell>
          <cell r="O43">
            <v>10099465.12184828</v>
          </cell>
          <cell r="P43">
            <v>10717532.314369461</v>
          </cell>
          <cell r="T43">
            <v>40</v>
          </cell>
          <cell r="U43" t="str">
            <v xml:space="preserve">Industrial </v>
          </cell>
          <cell r="X43">
            <v>856208.39</v>
          </cell>
          <cell r="Y43">
            <v>1799462.26</v>
          </cell>
          <cell r="Z43">
            <v>2761514.26</v>
          </cell>
          <cell r="AA43">
            <v>3352460.0199999996</v>
          </cell>
          <cell r="AB43">
            <v>4620684.97</v>
          </cell>
          <cell r="AC43">
            <v>5534959.2907712534</v>
          </cell>
          <cell r="AD43">
            <v>6667226.0158661995</v>
          </cell>
          <cell r="AE43">
            <v>7330231.4691722663</v>
          </cell>
          <cell r="AF43">
            <v>7973243.4469695203</v>
          </cell>
          <cell r="AG43">
            <v>8761350.6628620122</v>
          </cell>
          <cell r="AH43">
            <v>9578230.7875090074</v>
          </cell>
          <cell r="AI43">
            <v>10714720.026967572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1617237.9978576298</v>
          </cell>
          <cell r="F45">
            <v>3119580.8744765799</v>
          </cell>
          <cell r="G45">
            <v>4752196.6111598015</v>
          </cell>
          <cell r="H45">
            <v>6211535.592560133</v>
          </cell>
          <cell r="I45">
            <v>7701878.0796572203</v>
          </cell>
          <cell r="J45">
            <v>8870331.4831044897</v>
          </cell>
          <cell r="K45">
            <v>9990089.6874087062</v>
          </cell>
          <cell r="L45">
            <v>11339459.051514266</v>
          </cell>
          <cell r="M45">
            <v>12449075.56724121</v>
          </cell>
          <cell r="N45">
            <v>13942758.762903884</v>
          </cell>
          <cell r="O45">
            <v>15328027.046086278</v>
          </cell>
          <cell r="P45">
            <v>16953221.612256303</v>
          </cell>
          <cell r="T45">
            <v>42</v>
          </cell>
          <cell r="U45" t="str">
            <v>Total Volume</v>
          </cell>
          <cell r="X45">
            <v>1360697.23</v>
          </cell>
          <cell r="Y45">
            <v>2809163.48</v>
          </cell>
          <cell r="Z45">
            <v>4253196.4682043046</v>
          </cell>
          <cell r="AA45">
            <v>5335700.2182043036</v>
          </cell>
          <cell r="AB45">
            <v>7066823.0182043035</v>
          </cell>
          <cell r="AC45">
            <v>8428453.8488596752</v>
          </cell>
          <cell r="AD45">
            <v>10009703.921895023</v>
          </cell>
          <cell r="AE45">
            <v>11095611.60521375</v>
          </cell>
          <cell r="AF45">
            <v>12184790.395748369</v>
          </cell>
          <cell r="AG45">
            <v>13443253.050339859</v>
          </cell>
          <cell r="AH45">
            <v>14701030.535976239</v>
          </cell>
          <cell r="AI45">
            <v>16308186.539481934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45991</v>
          </cell>
          <cell r="F48">
            <v>95881</v>
          </cell>
          <cell r="G48">
            <v>138472</v>
          </cell>
          <cell r="H48">
            <v>172582</v>
          </cell>
          <cell r="I48">
            <v>194863</v>
          </cell>
          <cell r="J48">
            <v>213130</v>
          </cell>
          <cell r="K48">
            <v>228698</v>
          </cell>
          <cell r="L48">
            <v>243693</v>
          </cell>
          <cell r="M48">
            <v>260404</v>
          </cell>
          <cell r="N48">
            <v>280850</v>
          </cell>
          <cell r="O48">
            <v>308485</v>
          </cell>
          <cell r="P48">
            <v>342964</v>
          </cell>
          <cell r="T48">
            <v>45</v>
          </cell>
          <cell r="U48" t="str">
            <v>Residential</v>
          </cell>
          <cell r="X48">
            <v>44657</v>
          </cell>
          <cell r="Y48">
            <v>101670</v>
          </cell>
          <cell r="Z48">
            <v>140720</v>
          </cell>
          <cell r="AA48">
            <v>172415</v>
          </cell>
          <cell r="AB48">
            <v>190950</v>
          </cell>
          <cell r="AC48">
            <v>206792</v>
          </cell>
          <cell r="AD48">
            <v>222904</v>
          </cell>
          <cell r="AE48">
            <v>239603</v>
          </cell>
          <cell r="AF48">
            <v>255273</v>
          </cell>
          <cell r="AG48">
            <v>273557</v>
          </cell>
          <cell r="AH48">
            <v>296012</v>
          </cell>
          <cell r="AI48">
            <v>327218</v>
          </cell>
        </row>
        <row r="49">
          <cell r="A49">
            <v>46</v>
          </cell>
          <cell r="B49" t="str">
            <v>Commercial</v>
          </cell>
          <cell r="E49">
            <v>490031</v>
          </cell>
          <cell r="F49">
            <v>961421</v>
          </cell>
          <cell r="G49">
            <v>1447747</v>
          </cell>
          <cell r="H49">
            <v>1928549</v>
          </cell>
          <cell r="I49">
            <v>2377671</v>
          </cell>
          <cell r="J49">
            <v>2804168</v>
          </cell>
          <cell r="K49">
            <v>3219407</v>
          </cell>
          <cell r="L49">
            <v>3673667</v>
          </cell>
          <cell r="M49">
            <v>4118131</v>
          </cell>
          <cell r="N49">
            <v>4580270</v>
          </cell>
          <cell r="O49">
            <v>5060728</v>
          </cell>
          <cell r="P49">
            <v>6060468</v>
          </cell>
          <cell r="T49">
            <v>46</v>
          </cell>
          <cell r="U49" t="str">
            <v>Commercial</v>
          </cell>
          <cell r="X49">
            <v>473403</v>
          </cell>
          <cell r="Y49">
            <v>935192</v>
          </cell>
          <cell r="Z49">
            <v>1391089</v>
          </cell>
          <cell r="AA49">
            <v>1864174</v>
          </cell>
          <cell r="AB49">
            <v>2320989</v>
          </cell>
          <cell r="AC49">
            <v>2764538</v>
          </cell>
          <cell r="AD49">
            <v>3209487</v>
          </cell>
          <cell r="AE49">
            <v>3627067</v>
          </cell>
          <cell r="AF49">
            <v>4069566</v>
          </cell>
          <cell r="AG49">
            <v>4534290</v>
          </cell>
          <cell r="AH49">
            <v>4964592</v>
          </cell>
          <cell r="AI49">
            <v>5416714</v>
          </cell>
        </row>
        <row r="50">
          <cell r="A50">
            <v>47</v>
          </cell>
          <cell r="B50" t="str">
            <v xml:space="preserve">Industrial </v>
          </cell>
          <cell r="E50">
            <v>1124719</v>
          </cell>
          <cell r="F50">
            <v>2146195</v>
          </cell>
          <cell r="G50">
            <v>3293812</v>
          </cell>
          <cell r="H50">
            <v>4277496</v>
          </cell>
          <cell r="I50">
            <v>5336527</v>
          </cell>
          <cell r="J50">
            <v>6091648</v>
          </cell>
          <cell r="K50">
            <v>6810721</v>
          </cell>
          <cell r="L50">
            <v>7727134</v>
          </cell>
          <cell r="M50">
            <v>8405424</v>
          </cell>
          <cell r="N50">
            <v>9456702</v>
          </cell>
          <cell r="O50">
            <v>10371142</v>
          </cell>
          <cell r="P50">
            <v>11005835</v>
          </cell>
          <cell r="T50">
            <v>47</v>
          </cell>
          <cell r="U50" t="str">
            <v xml:space="preserve">Industrial </v>
          </cell>
          <cell r="X50">
            <v>879240</v>
          </cell>
          <cell r="Y50">
            <v>1847867</v>
          </cell>
          <cell r="Z50">
            <v>2835798</v>
          </cell>
          <cell r="AA50">
            <v>3442640</v>
          </cell>
          <cell r="AB50">
            <v>4744980</v>
          </cell>
          <cell r="AC50">
            <v>5683848</v>
          </cell>
          <cell r="AD50">
            <v>6846573</v>
          </cell>
          <cell r="AE50">
            <v>7527413</v>
          </cell>
          <cell r="AF50">
            <v>8187722</v>
          </cell>
          <cell r="AG50">
            <v>8997029</v>
          </cell>
          <cell r="AH50">
            <v>9835883</v>
          </cell>
          <cell r="AI50">
            <v>11002944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1660741</v>
          </cell>
          <cell r="F52">
            <v>3203497</v>
          </cell>
          <cell r="G52">
            <v>4880031</v>
          </cell>
          <cell r="H52">
            <v>6378627</v>
          </cell>
          <cell r="I52">
            <v>7909061</v>
          </cell>
          <cell r="J52">
            <v>9108946</v>
          </cell>
          <cell r="K52">
            <v>10258826</v>
          </cell>
          <cell r="L52">
            <v>11644494</v>
          </cell>
          <cell r="M52">
            <v>12783959</v>
          </cell>
          <cell r="N52">
            <v>14317822</v>
          </cell>
          <cell r="O52">
            <v>15740355</v>
          </cell>
          <cell r="P52">
            <v>17409267</v>
          </cell>
          <cell r="T52">
            <v>49</v>
          </cell>
          <cell r="U52" t="str">
            <v>Total Volume</v>
          </cell>
          <cell r="W52">
            <v>0</v>
          </cell>
          <cell r="X52">
            <v>1397300</v>
          </cell>
          <cell r="Y52">
            <v>2884729</v>
          </cell>
          <cell r="Z52">
            <v>4367607</v>
          </cell>
          <cell r="AA52">
            <v>5479229</v>
          </cell>
          <cell r="AB52">
            <v>7256919</v>
          </cell>
          <cell r="AC52">
            <v>8655178</v>
          </cell>
          <cell r="AD52">
            <v>10278964</v>
          </cell>
          <cell r="AE52">
            <v>11394083</v>
          </cell>
          <cell r="AF52">
            <v>12512561</v>
          </cell>
          <cell r="AG52">
            <v>13804876</v>
          </cell>
          <cell r="AH52">
            <v>15096487</v>
          </cell>
          <cell r="AI52">
            <v>16746876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16484</v>
          </cell>
          <cell r="F55">
            <v>16523</v>
          </cell>
          <cell r="G55">
            <v>16565</v>
          </cell>
          <cell r="H55">
            <v>16600</v>
          </cell>
          <cell r="I55">
            <v>16599</v>
          </cell>
          <cell r="J55">
            <v>16591</v>
          </cell>
          <cell r="K55">
            <v>16588</v>
          </cell>
          <cell r="L55">
            <v>16588</v>
          </cell>
          <cell r="M55">
            <v>16589</v>
          </cell>
          <cell r="N55">
            <v>16594</v>
          </cell>
          <cell r="O55">
            <v>16607</v>
          </cell>
          <cell r="P55">
            <v>16626</v>
          </cell>
        </row>
        <row r="56">
          <cell r="A56">
            <v>53</v>
          </cell>
          <cell r="B56" t="str">
            <v>Cumulative Budget YTD Volume (Mcfs)</v>
          </cell>
          <cell r="E56">
            <v>1531610.1859966891</v>
          </cell>
          <cell r="F56">
            <v>3033953.1599961049</v>
          </cell>
          <cell r="G56">
            <v>4469761.125718181</v>
          </cell>
          <cell r="H56">
            <v>5812233.7131171487</v>
          </cell>
          <cell r="I56">
            <v>7376544.9410848189</v>
          </cell>
          <cell r="J56">
            <v>8607152.9847112671</v>
          </cell>
          <cell r="K56">
            <v>9738258.0582335182</v>
          </cell>
          <cell r="L56">
            <v>10931612.815269256</v>
          </cell>
          <cell r="M56">
            <v>11864358.44191255</v>
          </cell>
          <cell r="N56">
            <v>12930253.787126301</v>
          </cell>
          <cell r="O56">
            <v>14077087.912162818</v>
          </cell>
          <cell r="P56">
            <v>29034456.51216282</v>
          </cell>
        </row>
        <row r="57">
          <cell r="A57">
            <v>54</v>
          </cell>
          <cell r="B57" t="str">
            <v>Cumulative YTD Budget Volume (Dts) * 1.0269</v>
          </cell>
          <cell r="E57">
            <v>1572811</v>
          </cell>
          <cell r="F57">
            <v>3115567</v>
          </cell>
          <cell r="G57">
            <v>4589998</v>
          </cell>
          <cell r="H57">
            <v>5968583</v>
          </cell>
          <cell r="I57">
            <v>7574974</v>
          </cell>
          <cell r="J57">
            <v>8838685</v>
          </cell>
          <cell r="K57">
            <v>10000217</v>
          </cell>
          <cell r="L57">
            <v>11225673</v>
          </cell>
          <cell r="M57">
            <v>12183509</v>
          </cell>
          <cell r="N57">
            <v>13278077</v>
          </cell>
          <cell r="O57">
            <v>14455761</v>
          </cell>
          <cell r="P57">
            <v>29815483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53300</v>
          </cell>
          <cell r="D5">
            <v>639598</v>
          </cell>
          <cell r="E5">
            <v>52941</v>
          </cell>
          <cell r="F5">
            <v>52987</v>
          </cell>
          <cell r="G5">
            <v>53205</v>
          </cell>
          <cell r="H5">
            <v>53269</v>
          </cell>
          <cell r="I5">
            <v>53238</v>
          </cell>
          <cell r="J5">
            <v>53352</v>
          </cell>
          <cell r="K5">
            <v>53231</v>
          </cell>
          <cell r="L5">
            <v>53318</v>
          </cell>
          <cell r="M5">
            <v>53393</v>
          </cell>
          <cell r="N5">
            <v>53380</v>
          </cell>
          <cell r="O5">
            <v>53541</v>
          </cell>
          <cell r="P5">
            <v>53743</v>
          </cell>
          <cell r="T5">
            <v>2</v>
          </cell>
          <cell r="U5" t="str">
            <v>Residential</v>
          </cell>
          <cell r="X5">
            <v>51478</v>
          </cell>
          <cell r="Y5">
            <v>51615</v>
          </cell>
          <cell r="Z5">
            <v>51853</v>
          </cell>
          <cell r="AA5">
            <v>52017</v>
          </cell>
          <cell r="AB5">
            <v>51908</v>
          </cell>
          <cell r="AC5">
            <v>51995</v>
          </cell>
          <cell r="AD5">
            <v>52029</v>
          </cell>
          <cell r="AE5">
            <v>52136</v>
          </cell>
          <cell r="AF5">
            <v>52136</v>
          </cell>
          <cell r="AG5">
            <v>52229</v>
          </cell>
          <cell r="AH5">
            <v>52501</v>
          </cell>
          <cell r="AI5">
            <v>52655</v>
          </cell>
        </row>
        <row r="6">
          <cell r="A6">
            <v>3</v>
          </cell>
          <cell r="B6" t="str">
            <v>Commercial</v>
          </cell>
          <cell r="C6">
            <v>4236</v>
          </cell>
          <cell r="D6">
            <v>50828</v>
          </cell>
          <cell r="E6">
            <v>4253</v>
          </cell>
          <cell r="F6">
            <v>4265</v>
          </cell>
          <cell r="G6">
            <v>4266</v>
          </cell>
          <cell r="H6">
            <v>4277</v>
          </cell>
          <cell r="I6">
            <v>4268</v>
          </cell>
          <cell r="J6">
            <v>4249</v>
          </cell>
          <cell r="K6">
            <v>4237</v>
          </cell>
          <cell r="L6">
            <v>4213</v>
          </cell>
          <cell r="M6">
            <v>4199</v>
          </cell>
          <cell r="N6">
            <v>4193</v>
          </cell>
          <cell r="O6">
            <v>4195</v>
          </cell>
          <cell r="P6">
            <v>4213</v>
          </cell>
          <cell r="T6">
            <v>3</v>
          </cell>
          <cell r="U6" t="str">
            <v>Commercial</v>
          </cell>
          <cell r="X6">
            <v>4270</v>
          </cell>
          <cell r="Y6">
            <v>4287</v>
          </cell>
          <cell r="Z6">
            <v>4306</v>
          </cell>
          <cell r="AA6">
            <v>4281</v>
          </cell>
          <cell r="AB6">
            <v>4264</v>
          </cell>
          <cell r="AC6">
            <v>4246</v>
          </cell>
          <cell r="AD6">
            <v>4234</v>
          </cell>
          <cell r="AE6">
            <v>4223</v>
          </cell>
          <cell r="AF6">
            <v>4211</v>
          </cell>
          <cell r="AG6">
            <v>4201</v>
          </cell>
          <cell r="AH6">
            <v>4230</v>
          </cell>
          <cell r="AI6">
            <v>4229</v>
          </cell>
        </row>
        <row r="7">
          <cell r="A7">
            <v>4</v>
          </cell>
          <cell r="B7" t="str">
            <v xml:space="preserve">Industrial </v>
          </cell>
          <cell r="C7">
            <v>1786</v>
          </cell>
          <cell r="D7">
            <v>21428</v>
          </cell>
          <cell r="E7">
            <v>1706</v>
          </cell>
          <cell r="F7">
            <v>1718</v>
          </cell>
          <cell r="G7">
            <v>1723</v>
          </cell>
          <cell r="H7">
            <v>1731</v>
          </cell>
          <cell r="I7">
            <v>1746</v>
          </cell>
          <cell r="J7">
            <v>1770</v>
          </cell>
          <cell r="K7">
            <v>1789</v>
          </cell>
          <cell r="L7">
            <v>1815</v>
          </cell>
          <cell r="M7">
            <v>1839</v>
          </cell>
          <cell r="N7">
            <v>1851</v>
          </cell>
          <cell r="O7">
            <v>1861</v>
          </cell>
          <cell r="P7">
            <v>1879</v>
          </cell>
          <cell r="T7">
            <v>4</v>
          </cell>
          <cell r="U7" t="str">
            <v>Industrial firm</v>
          </cell>
          <cell r="X7">
            <v>1527</v>
          </cell>
          <cell r="Y7">
            <v>1546</v>
          </cell>
          <cell r="Z7">
            <v>1564</v>
          </cell>
          <cell r="AA7">
            <v>1587</v>
          </cell>
          <cell r="AB7">
            <v>1607</v>
          </cell>
          <cell r="AC7">
            <v>1631</v>
          </cell>
          <cell r="AD7">
            <v>1643</v>
          </cell>
          <cell r="AE7">
            <v>1657</v>
          </cell>
          <cell r="AF7">
            <v>1690</v>
          </cell>
          <cell r="AG7">
            <v>1706</v>
          </cell>
          <cell r="AH7">
            <v>1717</v>
          </cell>
          <cell r="AI7">
            <v>1717</v>
          </cell>
        </row>
        <row r="8">
          <cell r="A8">
            <v>5</v>
          </cell>
          <cell r="B8" t="str">
            <v>Other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C9">
            <v>59322</v>
          </cell>
          <cell r="D9">
            <v>711854</v>
          </cell>
          <cell r="E9">
            <v>58900</v>
          </cell>
          <cell r="F9">
            <v>58970</v>
          </cell>
          <cell r="G9">
            <v>59194</v>
          </cell>
          <cell r="H9">
            <v>59277</v>
          </cell>
          <cell r="I9">
            <v>59252</v>
          </cell>
          <cell r="J9">
            <v>59371</v>
          </cell>
          <cell r="K9">
            <v>59257</v>
          </cell>
          <cell r="L9">
            <v>59346</v>
          </cell>
          <cell r="M9">
            <v>59431</v>
          </cell>
          <cell r="N9">
            <v>59424</v>
          </cell>
          <cell r="O9">
            <v>59597</v>
          </cell>
          <cell r="P9">
            <v>59835</v>
          </cell>
          <cell r="T9">
            <v>6</v>
          </cell>
          <cell r="U9" t="str">
            <v>Total customers</v>
          </cell>
          <cell r="X9">
            <v>57275</v>
          </cell>
          <cell r="Y9">
            <v>57448</v>
          </cell>
          <cell r="Z9">
            <v>57723</v>
          </cell>
          <cell r="AA9">
            <v>57885</v>
          </cell>
          <cell r="AB9">
            <v>57779</v>
          </cell>
          <cell r="AC9">
            <v>57872</v>
          </cell>
          <cell r="AD9">
            <v>57906</v>
          </cell>
          <cell r="AE9">
            <v>58016</v>
          </cell>
          <cell r="AF9">
            <v>58037</v>
          </cell>
          <cell r="AG9">
            <v>58136</v>
          </cell>
          <cell r="AH9">
            <v>58448</v>
          </cell>
          <cell r="AI9">
            <v>58601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- 2016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1274618.4486318044</v>
          </cell>
          <cell r="E12">
            <v>169382</v>
          </cell>
          <cell r="F12">
            <v>176192</v>
          </cell>
          <cell r="G12">
            <v>148059</v>
          </cell>
          <cell r="H12">
            <v>116216</v>
          </cell>
          <cell r="I12">
            <v>89463</v>
          </cell>
          <cell r="J12">
            <v>76893.981887233414</v>
          </cell>
          <cell r="K12">
            <v>67907.196221637932</v>
          </cell>
          <cell r="L12">
            <v>57127</v>
          </cell>
          <cell r="M12">
            <v>66640.321355536071</v>
          </cell>
          <cell r="N12">
            <v>78785.860356412493</v>
          </cell>
          <cell r="O12">
            <v>99029.116759178098</v>
          </cell>
          <cell r="P12">
            <v>128922.97205180641</v>
          </cell>
          <cell r="T12">
            <v>9</v>
          </cell>
          <cell r="U12" t="str">
            <v>Residential</v>
          </cell>
          <cell r="W12">
            <v>1215133.0395364724</v>
          </cell>
          <cell r="X12">
            <v>172785.19330022397</v>
          </cell>
          <cell r="Y12">
            <v>186091.1539585159</v>
          </cell>
          <cell r="Z12">
            <v>142599.10896874429</v>
          </cell>
          <cell r="AA12">
            <v>105427.84789171293</v>
          </cell>
          <cell r="AB12">
            <v>79997.259713701438</v>
          </cell>
          <cell r="AC12">
            <v>66233.031453890348</v>
          </cell>
          <cell r="AD12">
            <v>64473</v>
          </cell>
          <cell r="AE12">
            <v>62570</v>
          </cell>
          <cell r="AF12">
            <v>64969</v>
          </cell>
          <cell r="AG12">
            <v>67082.48125426039</v>
          </cell>
          <cell r="AH12">
            <v>84019.96299542312</v>
          </cell>
          <cell r="AI12">
            <v>118885</v>
          </cell>
        </row>
        <row r="13">
          <cell r="A13">
            <v>10</v>
          </cell>
          <cell r="B13" t="str">
            <v>Commercial</v>
          </cell>
          <cell r="D13">
            <v>2077946.2477359043</v>
          </cell>
          <cell r="E13">
            <v>225740</v>
          </cell>
          <cell r="F13">
            <v>225719</v>
          </cell>
          <cell r="G13">
            <v>222736</v>
          </cell>
          <cell r="H13">
            <v>189008</v>
          </cell>
          <cell r="I13">
            <v>180679</v>
          </cell>
          <cell r="J13">
            <v>148800.1791800565</v>
          </cell>
          <cell r="K13">
            <v>133466.1969033012</v>
          </cell>
          <cell r="L13">
            <v>126931</v>
          </cell>
          <cell r="M13">
            <v>138040.40364202939</v>
          </cell>
          <cell r="N13">
            <v>138868.53637160384</v>
          </cell>
          <cell r="O13">
            <v>164677.18375693835</v>
          </cell>
          <cell r="P13">
            <v>183280.74788197488</v>
          </cell>
          <cell r="T13">
            <v>10</v>
          </cell>
          <cell r="U13" t="str">
            <v>Commercial</v>
          </cell>
          <cell r="W13">
            <v>2354482.4883630341</v>
          </cell>
          <cell r="X13">
            <v>256252.56500146046</v>
          </cell>
          <cell r="Y13">
            <v>298732.63414159114</v>
          </cell>
          <cell r="Z13">
            <v>259924.54669393311</v>
          </cell>
          <cell r="AA13">
            <v>216058.59382607846</v>
          </cell>
          <cell r="AB13">
            <v>194466.8770084721</v>
          </cell>
          <cell r="AC13">
            <v>154507.35222514364</v>
          </cell>
          <cell r="AD13">
            <v>155806</v>
          </cell>
          <cell r="AE13">
            <v>153768</v>
          </cell>
          <cell r="AF13">
            <v>147152</v>
          </cell>
          <cell r="AG13">
            <v>157801.34287661893</v>
          </cell>
          <cell r="AH13">
            <v>164491.5765897361</v>
          </cell>
          <cell r="AI13">
            <v>195521</v>
          </cell>
        </row>
        <row r="14">
          <cell r="A14">
            <v>11</v>
          </cell>
          <cell r="B14" t="str">
            <v xml:space="preserve">Industrial </v>
          </cell>
          <cell r="D14">
            <v>4182073.6436106316</v>
          </cell>
          <cell r="E14">
            <v>355054</v>
          </cell>
          <cell r="F14">
            <v>347321</v>
          </cell>
          <cell r="G14">
            <v>393890</v>
          </cell>
          <cell r="H14">
            <v>348849</v>
          </cell>
          <cell r="I14">
            <v>318053</v>
          </cell>
          <cell r="J14">
            <v>339657.29866588768</v>
          </cell>
          <cell r="K14">
            <v>343098.71681760636</v>
          </cell>
          <cell r="L14">
            <v>331705</v>
          </cell>
          <cell r="M14">
            <v>327401.63287564513</v>
          </cell>
          <cell r="N14">
            <v>339993.84431177127</v>
          </cell>
          <cell r="O14">
            <v>366784.30226896488</v>
          </cell>
          <cell r="P14">
            <v>370265.84867075662</v>
          </cell>
          <cell r="T14">
            <v>11</v>
          </cell>
          <cell r="U14" t="str">
            <v>Industrial firm</v>
          </cell>
          <cell r="W14">
            <v>3883435.7124354853</v>
          </cell>
          <cell r="X14">
            <v>386113.98383484263</v>
          </cell>
          <cell r="Y14">
            <v>384250.05453306064</v>
          </cell>
          <cell r="Z14">
            <v>329808.98724315915</v>
          </cell>
          <cell r="AA14">
            <v>333215.32671146165</v>
          </cell>
          <cell r="AB14">
            <v>323122.11510371015</v>
          </cell>
          <cell r="AC14">
            <v>341124.84175674361</v>
          </cell>
          <cell r="AD14">
            <v>288410</v>
          </cell>
          <cell r="AE14">
            <v>290724</v>
          </cell>
          <cell r="AF14">
            <v>279330</v>
          </cell>
          <cell r="AG14">
            <v>290538.0338884017</v>
          </cell>
          <cell r="AH14">
            <v>304603.36936410557</v>
          </cell>
          <cell r="AI14">
            <v>332195</v>
          </cell>
        </row>
        <row r="15">
          <cell r="A15">
            <v>12</v>
          </cell>
          <cell r="B15" t="str">
            <v>Other</v>
          </cell>
          <cell r="D15">
            <v>-4091.20839419612</v>
          </cell>
          <cell r="E15">
            <v>-12552.932515337425</v>
          </cell>
          <cell r="F15">
            <v>55423.579998052395</v>
          </cell>
          <cell r="G15">
            <v>-3545.925114422047</v>
          </cell>
          <cell r="H15">
            <v>-45617.861232836694</v>
          </cell>
          <cell r="I15">
            <v>648</v>
          </cell>
          <cell r="J15">
            <v>461.54737559645537</v>
          </cell>
          <cell r="K15">
            <v>248</v>
          </cell>
          <cell r="L15">
            <v>130</v>
          </cell>
          <cell r="M15">
            <v>207.12825007303536</v>
          </cell>
          <cell r="N15">
            <v>192.03427792384846</v>
          </cell>
          <cell r="O15">
            <v>189.01548349401111</v>
          </cell>
          <cell r="P15">
            <v>126.20508326029798</v>
          </cell>
          <cell r="T15">
            <v>12</v>
          </cell>
          <cell r="U15" t="str">
            <v>Other</v>
          </cell>
          <cell r="W15">
            <v>-82543.286785470831</v>
          </cell>
          <cell r="X15">
            <v>-36603.919466355052</v>
          </cell>
          <cell r="Y15">
            <v>-5692.0294089005747</v>
          </cell>
          <cell r="Z15">
            <v>-37124.786931541537</v>
          </cell>
          <cell r="AA15">
            <v>43386.992112182299</v>
          </cell>
          <cell r="AB15">
            <v>493.75654883630341</v>
          </cell>
          <cell r="AC15">
            <v>-70247.684876813713</v>
          </cell>
          <cell r="AD15">
            <v>-30630.11442204694</v>
          </cell>
          <cell r="AE15">
            <v>14758.5492258253</v>
          </cell>
          <cell r="AF15">
            <v>-26000.411335086184</v>
          </cell>
          <cell r="AG15">
            <v>41383.192131658398</v>
          </cell>
          <cell r="AH15">
            <v>22882.169636770865</v>
          </cell>
          <cell r="AI15">
            <v>851</v>
          </cell>
        </row>
        <row r="16">
          <cell r="A16">
            <v>13</v>
          </cell>
          <cell r="B16" t="str">
            <v>Total Deliveries</v>
          </cell>
          <cell r="D16">
            <v>7530547.1315841451</v>
          </cell>
          <cell r="E16">
            <v>737623.06748466252</v>
          </cell>
          <cell r="F16">
            <v>804655.57999805245</v>
          </cell>
          <cell r="G16">
            <v>761139.07488557789</v>
          </cell>
          <cell r="H16">
            <v>608455.13876716327</v>
          </cell>
          <cell r="I16">
            <v>588843</v>
          </cell>
          <cell r="J16">
            <v>565813.00710877404</v>
          </cell>
          <cell r="K16">
            <v>544720.10994254542</v>
          </cell>
          <cell r="L16">
            <v>515893</v>
          </cell>
          <cell r="M16">
            <v>532289.48612328363</v>
          </cell>
          <cell r="N16">
            <v>557840.27531771152</v>
          </cell>
          <cell r="O16">
            <v>630679.6182685754</v>
          </cell>
          <cell r="P16">
            <v>682595.7736877983</v>
          </cell>
          <cell r="T16">
            <v>13</v>
          </cell>
          <cell r="U16" t="str">
            <v>Total Deliveries</v>
          </cell>
          <cell r="W16">
            <v>7370507.9535495201</v>
          </cell>
          <cell r="X16">
            <v>778547.82267017209</v>
          </cell>
          <cell r="Y16">
            <v>863381.81322426721</v>
          </cell>
          <cell r="Z16">
            <v>695207.85597429494</v>
          </cell>
          <cell r="AA16">
            <v>698088.76054143533</v>
          </cell>
          <cell r="AB16">
            <v>598080.00837472011</v>
          </cell>
          <cell r="AC16">
            <v>491617.54055896384</v>
          </cell>
          <cell r="AD16">
            <v>478058.88557795307</v>
          </cell>
          <cell r="AE16">
            <v>521820.54922582529</v>
          </cell>
          <cell r="AF16">
            <v>465450.58866491384</v>
          </cell>
          <cell r="AG16">
            <v>556805.05015093938</v>
          </cell>
          <cell r="AH16">
            <v>575997.07858603564</v>
          </cell>
          <cell r="AI16">
            <v>647452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52019</v>
          </cell>
          <cell r="D21">
            <v>624228</v>
          </cell>
          <cell r="E21">
            <v>51638</v>
          </cell>
          <cell r="F21">
            <v>51695</v>
          </cell>
          <cell r="G21">
            <v>51907</v>
          </cell>
          <cell r="H21">
            <v>51978</v>
          </cell>
          <cell r="I21">
            <v>51954</v>
          </cell>
          <cell r="J21">
            <v>52078</v>
          </cell>
          <cell r="K21">
            <v>51962</v>
          </cell>
          <cell r="L21">
            <v>52045</v>
          </cell>
          <cell r="M21">
            <v>52120</v>
          </cell>
          <cell r="N21">
            <v>52115</v>
          </cell>
          <cell r="O21">
            <v>52271</v>
          </cell>
          <cell r="P21">
            <v>52465</v>
          </cell>
          <cell r="T21">
            <v>18</v>
          </cell>
          <cell r="U21" t="str">
            <v>Residential</v>
          </cell>
          <cell r="X21">
            <v>50149</v>
          </cell>
          <cell r="Y21">
            <v>50287</v>
          </cell>
          <cell r="Z21">
            <v>50518</v>
          </cell>
          <cell r="AA21">
            <v>50689</v>
          </cell>
          <cell r="AB21">
            <v>50593</v>
          </cell>
          <cell r="AC21">
            <v>50687</v>
          </cell>
          <cell r="AD21">
            <v>50739</v>
          </cell>
          <cell r="AE21">
            <v>50856</v>
          </cell>
          <cell r="AF21">
            <v>50867</v>
          </cell>
          <cell r="AG21">
            <v>50954</v>
          </cell>
          <cell r="AH21">
            <v>51231</v>
          </cell>
          <cell r="AI21">
            <v>51388</v>
          </cell>
        </row>
        <row r="22">
          <cell r="A22">
            <v>19</v>
          </cell>
          <cell r="B22" t="str">
            <v>Commercial Small</v>
          </cell>
          <cell r="C22">
            <v>3336</v>
          </cell>
          <cell r="D22">
            <v>40028</v>
          </cell>
          <cell r="E22">
            <v>3338</v>
          </cell>
          <cell r="F22">
            <v>3346</v>
          </cell>
          <cell r="G22">
            <v>3357</v>
          </cell>
          <cell r="H22">
            <v>3369</v>
          </cell>
          <cell r="I22">
            <v>3357</v>
          </cell>
          <cell r="J22">
            <v>3342</v>
          </cell>
          <cell r="K22">
            <v>3342</v>
          </cell>
          <cell r="L22">
            <v>3318</v>
          </cell>
          <cell r="M22">
            <v>3312</v>
          </cell>
          <cell r="N22">
            <v>3310</v>
          </cell>
          <cell r="O22">
            <v>3311</v>
          </cell>
          <cell r="P22">
            <v>3326</v>
          </cell>
          <cell r="T22">
            <v>19</v>
          </cell>
          <cell r="U22" t="str">
            <v>Commercial Small</v>
          </cell>
          <cell r="X22">
            <v>3344</v>
          </cell>
          <cell r="Y22">
            <v>3347</v>
          </cell>
          <cell r="Z22">
            <v>3340</v>
          </cell>
          <cell r="AA22">
            <v>3334</v>
          </cell>
          <cell r="AB22">
            <v>3329</v>
          </cell>
          <cell r="AC22">
            <v>3311</v>
          </cell>
          <cell r="AD22">
            <v>3313</v>
          </cell>
          <cell r="AE22">
            <v>3311</v>
          </cell>
          <cell r="AF22">
            <v>3308</v>
          </cell>
          <cell r="AG22">
            <v>3304</v>
          </cell>
          <cell r="AH22">
            <v>3336</v>
          </cell>
          <cell r="AI22">
            <v>3334</v>
          </cell>
        </row>
        <row r="23">
          <cell r="A23">
            <v>20</v>
          </cell>
          <cell r="B23" t="str">
            <v>Commercial Large</v>
          </cell>
          <cell r="C23">
            <v>793</v>
          </cell>
          <cell r="D23">
            <v>9520</v>
          </cell>
          <cell r="E23">
            <v>809</v>
          </cell>
          <cell r="F23">
            <v>810</v>
          </cell>
          <cell r="G23">
            <v>800</v>
          </cell>
          <cell r="H23">
            <v>799</v>
          </cell>
          <cell r="I23">
            <v>802</v>
          </cell>
          <cell r="J23">
            <v>798</v>
          </cell>
          <cell r="K23">
            <v>789</v>
          </cell>
          <cell r="L23">
            <v>789</v>
          </cell>
          <cell r="M23">
            <v>782</v>
          </cell>
          <cell r="N23">
            <v>780</v>
          </cell>
          <cell r="O23">
            <v>780</v>
          </cell>
          <cell r="P23">
            <v>782</v>
          </cell>
          <cell r="T23">
            <v>20</v>
          </cell>
          <cell r="U23" t="str">
            <v>Commercial Large</v>
          </cell>
          <cell r="X23">
            <v>883</v>
          </cell>
          <cell r="Y23">
            <v>867</v>
          </cell>
          <cell r="Z23">
            <v>855</v>
          </cell>
          <cell r="AA23">
            <v>855</v>
          </cell>
          <cell r="AB23">
            <v>843</v>
          </cell>
          <cell r="AC23">
            <v>843</v>
          </cell>
          <cell r="AD23">
            <v>829</v>
          </cell>
          <cell r="AE23">
            <v>819</v>
          </cell>
          <cell r="AF23">
            <v>810</v>
          </cell>
          <cell r="AG23">
            <v>804</v>
          </cell>
          <cell r="AH23">
            <v>802</v>
          </cell>
          <cell r="AI23">
            <v>803</v>
          </cell>
        </row>
        <row r="24">
          <cell r="A24">
            <v>21</v>
          </cell>
          <cell r="B24" t="str">
            <v>Outdoor Lights</v>
          </cell>
          <cell r="C24">
            <v>62</v>
          </cell>
          <cell r="D24">
            <v>748</v>
          </cell>
          <cell r="E24">
            <v>62</v>
          </cell>
          <cell r="F24">
            <v>64</v>
          </cell>
          <cell r="G24">
            <v>64</v>
          </cell>
          <cell r="H24">
            <v>64</v>
          </cell>
          <cell r="I24">
            <v>64</v>
          </cell>
          <cell r="J24">
            <v>64</v>
          </cell>
          <cell r="K24">
            <v>62</v>
          </cell>
          <cell r="L24">
            <v>62</v>
          </cell>
          <cell r="M24">
            <v>62</v>
          </cell>
          <cell r="N24">
            <v>60</v>
          </cell>
          <cell r="O24">
            <v>60</v>
          </cell>
          <cell r="P24">
            <v>60</v>
          </cell>
          <cell r="T24">
            <v>21</v>
          </cell>
          <cell r="U24" t="str">
            <v>Outdoor Lights</v>
          </cell>
          <cell r="X24">
            <v>14</v>
          </cell>
          <cell r="Y24">
            <v>44</v>
          </cell>
          <cell r="Z24">
            <v>82</v>
          </cell>
          <cell r="AA24">
            <v>63</v>
          </cell>
          <cell r="AB24">
            <v>63</v>
          </cell>
          <cell r="AC24">
            <v>63</v>
          </cell>
          <cell r="AD24">
            <v>63</v>
          </cell>
          <cell r="AE24">
            <v>64</v>
          </cell>
          <cell r="AF24">
            <v>64</v>
          </cell>
          <cell r="AG24">
            <v>64</v>
          </cell>
          <cell r="AH24">
            <v>64</v>
          </cell>
          <cell r="AI24">
            <v>64</v>
          </cell>
        </row>
        <row r="25">
          <cell r="A25">
            <v>22</v>
          </cell>
          <cell r="B25" t="str">
            <v>Interdepartmental</v>
          </cell>
          <cell r="C25">
            <v>0</v>
          </cell>
          <cell r="D25">
            <v>0</v>
          </cell>
          <cell r="E25">
            <v>0</v>
          </cell>
          <cell r="T25">
            <v>22</v>
          </cell>
          <cell r="U25" t="str">
            <v>Interdepartmental</v>
          </cell>
          <cell r="AA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H25">
            <v>0</v>
          </cell>
          <cell r="AI25">
            <v>0</v>
          </cell>
        </row>
        <row r="26">
          <cell r="A26">
            <v>23</v>
          </cell>
          <cell r="B26" t="str">
            <v>Commercial Small Transp</v>
          </cell>
          <cell r="C26">
            <v>727</v>
          </cell>
          <cell r="D26">
            <v>8724</v>
          </cell>
          <cell r="E26">
            <v>678</v>
          </cell>
          <cell r="F26">
            <v>681</v>
          </cell>
          <cell r="G26">
            <v>679</v>
          </cell>
          <cell r="H26">
            <v>686</v>
          </cell>
          <cell r="I26">
            <v>699</v>
          </cell>
          <cell r="J26">
            <v>711</v>
          </cell>
          <cell r="K26">
            <v>731</v>
          </cell>
          <cell r="L26">
            <v>750</v>
          </cell>
          <cell r="M26">
            <v>765</v>
          </cell>
          <cell r="N26">
            <v>773</v>
          </cell>
          <cell r="O26">
            <v>778</v>
          </cell>
          <cell r="P26">
            <v>793</v>
          </cell>
          <cell r="T26">
            <v>23</v>
          </cell>
          <cell r="U26" t="str">
            <v>Commercial Small Transp</v>
          </cell>
          <cell r="X26">
            <v>556</v>
          </cell>
          <cell r="Y26">
            <v>568</v>
          </cell>
          <cell r="Z26">
            <v>580</v>
          </cell>
          <cell r="AA26">
            <v>594</v>
          </cell>
          <cell r="AB26">
            <v>605</v>
          </cell>
          <cell r="AC26">
            <v>623</v>
          </cell>
          <cell r="AD26">
            <v>628</v>
          </cell>
          <cell r="AE26">
            <v>634</v>
          </cell>
          <cell r="AF26">
            <v>660</v>
          </cell>
          <cell r="AG26">
            <v>667</v>
          </cell>
          <cell r="AH26">
            <v>676</v>
          </cell>
          <cell r="AI26">
            <v>677</v>
          </cell>
        </row>
        <row r="27">
          <cell r="A27">
            <v>24</v>
          </cell>
          <cell r="B27" t="str">
            <v>Commercial Large Transp</v>
          </cell>
          <cell r="C27">
            <v>1032</v>
          </cell>
          <cell r="D27">
            <v>12379</v>
          </cell>
          <cell r="E27">
            <v>1001</v>
          </cell>
          <cell r="F27">
            <v>1010</v>
          </cell>
          <cell r="G27">
            <v>1017</v>
          </cell>
          <cell r="H27">
            <v>1018</v>
          </cell>
          <cell r="I27">
            <v>1020</v>
          </cell>
          <cell r="J27">
            <v>1032</v>
          </cell>
          <cell r="K27">
            <v>1031</v>
          </cell>
          <cell r="L27">
            <v>1037</v>
          </cell>
          <cell r="M27">
            <v>1047</v>
          </cell>
          <cell r="N27">
            <v>1053</v>
          </cell>
          <cell r="O27">
            <v>1054</v>
          </cell>
          <cell r="P27">
            <v>1059</v>
          </cell>
          <cell r="T27">
            <v>24</v>
          </cell>
          <cell r="U27" t="str">
            <v>Commercial Large Transp</v>
          </cell>
          <cell r="X27">
            <v>930</v>
          </cell>
          <cell r="Y27">
            <v>935</v>
          </cell>
          <cell r="Z27">
            <v>942</v>
          </cell>
          <cell r="AA27">
            <v>951</v>
          </cell>
          <cell r="AB27">
            <v>960</v>
          </cell>
          <cell r="AC27">
            <v>966</v>
          </cell>
          <cell r="AD27">
            <v>973</v>
          </cell>
          <cell r="AE27">
            <v>982</v>
          </cell>
          <cell r="AF27">
            <v>989</v>
          </cell>
          <cell r="AG27">
            <v>999</v>
          </cell>
          <cell r="AH27">
            <v>1000</v>
          </cell>
          <cell r="AI27">
            <v>999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18</v>
          </cell>
          <cell r="J28">
            <v>18</v>
          </cell>
          <cell r="K28">
            <v>18</v>
          </cell>
          <cell r="L28">
            <v>19</v>
          </cell>
          <cell r="M28">
            <v>18</v>
          </cell>
          <cell r="N28">
            <v>16</v>
          </cell>
          <cell r="O28">
            <v>20</v>
          </cell>
          <cell r="P28">
            <v>18</v>
          </cell>
          <cell r="T28">
            <v>25</v>
          </cell>
          <cell r="U28" t="str">
            <v>Interruptible Transp</v>
          </cell>
          <cell r="X28">
            <v>17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17</v>
          </cell>
          <cell r="AG28">
            <v>16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695844</v>
          </cell>
          <cell r="E30">
            <v>57544</v>
          </cell>
          <cell r="F30">
            <v>57624</v>
          </cell>
          <cell r="G30">
            <v>57842</v>
          </cell>
          <cell r="H30">
            <v>57932</v>
          </cell>
          <cell r="I30">
            <v>57914</v>
          </cell>
          <cell r="J30">
            <v>58043</v>
          </cell>
          <cell r="K30">
            <v>57935</v>
          </cell>
          <cell r="L30">
            <v>58020</v>
          </cell>
          <cell r="M30">
            <v>58106</v>
          </cell>
          <cell r="N30">
            <v>58107</v>
          </cell>
          <cell r="O30">
            <v>58274</v>
          </cell>
          <cell r="P30">
            <v>58503</v>
          </cell>
          <cell r="T30">
            <v>27</v>
          </cell>
          <cell r="X30">
            <v>55893</v>
          </cell>
          <cell r="Y30">
            <v>56065</v>
          </cell>
          <cell r="Z30">
            <v>56334</v>
          </cell>
          <cell r="AA30">
            <v>56503</v>
          </cell>
          <cell r="AB30">
            <v>56410</v>
          </cell>
          <cell r="AC30">
            <v>56510</v>
          </cell>
          <cell r="AD30">
            <v>56562</v>
          </cell>
          <cell r="AE30">
            <v>56683</v>
          </cell>
          <cell r="AF30">
            <v>56715</v>
          </cell>
          <cell r="AG30">
            <v>56808</v>
          </cell>
          <cell r="AH30">
            <v>57126</v>
          </cell>
          <cell r="AI30">
            <v>57282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1255827.8278313368</v>
          </cell>
          <cell r="E33">
            <v>167417</v>
          </cell>
          <cell r="F33">
            <v>174048</v>
          </cell>
          <cell r="G33">
            <v>146144</v>
          </cell>
          <cell r="H33">
            <v>114803</v>
          </cell>
          <cell r="I33">
            <v>88279</v>
          </cell>
          <cell r="J33">
            <v>75258.407829389427</v>
          </cell>
          <cell r="K33">
            <v>66715.196221637932</v>
          </cell>
          <cell r="L33">
            <v>55865</v>
          </cell>
          <cell r="M33">
            <v>65340</v>
          </cell>
          <cell r="N33">
            <v>77490.408024150354</v>
          </cell>
          <cell r="O33">
            <v>97440.646606290771</v>
          </cell>
          <cell r="P33">
            <v>127027.16914986854</v>
          </cell>
          <cell r="T33">
            <v>30</v>
          </cell>
          <cell r="U33" t="str">
            <v>Residential</v>
          </cell>
          <cell r="X33">
            <v>170568.79735125133</v>
          </cell>
          <cell r="Y33">
            <v>183764.99756548836</v>
          </cell>
          <cell r="Z33">
            <v>140595.70162625719</v>
          </cell>
          <cell r="AA33">
            <v>103925.21180251242</v>
          </cell>
          <cell r="AB33">
            <v>78639.205375401696</v>
          </cell>
          <cell r="AC33">
            <v>64977.992014801828</v>
          </cell>
          <cell r="AD33">
            <v>63142</v>
          </cell>
          <cell r="AE33">
            <v>61282</v>
          </cell>
          <cell r="AF33">
            <v>63650</v>
          </cell>
          <cell r="AG33">
            <v>65813.419028142947</v>
          </cell>
          <cell r="AH33">
            <v>82763.657610283379</v>
          </cell>
          <cell r="AI33">
            <v>117196</v>
          </cell>
        </row>
        <row r="34">
          <cell r="A34">
            <v>31</v>
          </cell>
          <cell r="B34" t="str">
            <v>Commercial Small</v>
          </cell>
          <cell r="D34">
            <v>868798.39702015778</v>
          </cell>
          <cell r="E34">
            <v>95873</v>
          </cell>
          <cell r="F34">
            <v>97447</v>
          </cell>
          <cell r="G34">
            <v>88811</v>
          </cell>
          <cell r="H34">
            <v>78598</v>
          </cell>
          <cell r="I34">
            <v>67259</v>
          </cell>
          <cell r="J34">
            <v>64146.170026292726</v>
          </cell>
          <cell r="K34">
            <v>56193.090855974289</v>
          </cell>
          <cell r="L34">
            <v>53763</v>
          </cell>
          <cell r="M34">
            <v>58650</v>
          </cell>
          <cell r="N34">
            <v>59666.861427597622</v>
          </cell>
          <cell r="O34">
            <v>68286.980231765512</v>
          </cell>
          <cell r="P34">
            <v>80104.294478527605</v>
          </cell>
          <cell r="T34">
            <v>31</v>
          </cell>
          <cell r="U34" t="str">
            <v>Commercial Small</v>
          </cell>
          <cell r="X34">
            <v>96127.238289998801</v>
          </cell>
          <cell r="Y34">
            <v>104694.05687019184</v>
          </cell>
          <cell r="Z34">
            <v>87893.286590709802</v>
          </cell>
          <cell r="AA34">
            <v>74319.992209562755</v>
          </cell>
          <cell r="AB34">
            <v>61978.089395267307</v>
          </cell>
          <cell r="AC34">
            <v>56001.363326516701</v>
          </cell>
          <cell r="AD34">
            <v>57336</v>
          </cell>
          <cell r="AE34">
            <v>54399</v>
          </cell>
          <cell r="AF34">
            <v>59533</v>
          </cell>
          <cell r="AG34">
            <v>57368.464310059382</v>
          </cell>
          <cell r="AH34">
            <v>64246.762099522835</v>
          </cell>
          <cell r="AI34">
            <v>78553</v>
          </cell>
        </row>
        <row r="35">
          <cell r="A35">
            <v>32</v>
          </cell>
          <cell r="B35" t="str">
            <v>Commercial Large</v>
          </cell>
          <cell r="D35">
            <v>1180177.1640860843</v>
          </cell>
          <cell r="E35">
            <v>127701</v>
          </cell>
          <cell r="F35">
            <v>125865</v>
          </cell>
          <cell r="G35">
            <v>131837</v>
          </cell>
          <cell r="H35">
            <v>107596</v>
          </cell>
          <cell r="I35">
            <v>111008</v>
          </cell>
          <cell r="J35">
            <v>82157.401889181026</v>
          </cell>
          <cell r="K35">
            <v>74928.657123381054</v>
          </cell>
          <cell r="L35">
            <v>70670</v>
          </cell>
          <cell r="M35">
            <v>76905</v>
          </cell>
          <cell r="N35">
            <v>76628.20138280261</v>
          </cell>
          <cell r="O35">
            <v>93808.25786347258</v>
          </cell>
          <cell r="P35">
            <v>101072.64582724705</v>
          </cell>
          <cell r="T35">
            <v>32</v>
          </cell>
          <cell r="U35" t="str">
            <v>Commercial Large</v>
          </cell>
          <cell r="X35">
            <v>158752.74807673573</v>
          </cell>
          <cell r="Y35">
            <v>192704.85539000874</v>
          </cell>
          <cell r="Z35">
            <v>169595.65975265365</v>
          </cell>
          <cell r="AA35">
            <v>139398.77300613496</v>
          </cell>
          <cell r="AB35">
            <v>130218.61914499951</v>
          </cell>
          <cell r="AC35">
            <v>96291.946635504923</v>
          </cell>
          <cell r="AD35">
            <v>96166</v>
          </cell>
          <cell r="AE35">
            <v>97093</v>
          </cell>
          <cell r="AF35">
            <v>85335</v>
          </cell>
          <cell r="AG35">
            <v>98059.110916350182</v>
          </cell>
          <cell r="AH35">
            <v>97947.1224072451</v>
          </cell>
          <cell r="AI35">
            <v>114401</v>
          </cell>
        </row>
        <row r="36">
          <cell r="A36">
            <v>33</v>
          </cell>
          <cell r="B36" t="str">
            <v>Outdoor Lights</v>
          </cell>
          <cell r="D36">
            <v>20274.885870094455</v>
          </cell>
          <cell r="E36">
            <v>1671</v>
          </cell>
          <cell r="F36">
            <v>1719</v>
          </cell>
          <cell r="G36">
            <v>1719</v>
          </cell>
          <cell r="H36">
            <v>1719</v>
          </cell>
          <cell r="I36">
            <v>1719</v>
          </cell>
          <cell r="J36">
            <v>1719.3709221930083</v>
          </cell>
          <cell r="K36">
            <v>1690.4489239458564</v>
          </cell>
          <cell r="L36">
            <v>1690</v>
          </cell>
          <cell r="M36">
            <v>1690</v>
          </cell>
          <cell r="N36">
            <v>1646.0220079851981</v>
          </cell>
          <cell r="O36">
            <v>1646.0220079851981</v>
          </cell>
          <cell r="P36">
            <v>1646.0220079851981</v>
          </cell>
          <cell r="T36">
            <v>33</v>
          </cell>
          <cell r="U36" t="str">
            <v>Outdoor Lights</v>
          </cell>
          <cell r="X36">
            <v>658.52565975265361</v>
          </cell>
          <cell r="Y36">
            <v>703.12591294186382</v>
          </cell>
          <cell r="Z36">
            <v>1730.0029214139645</v>
          </cell>
          <cell r="AA36">
            <v>1719.3494984906029</v>
          </cell>
          <cell r="AB36">
            <v>1719.3494984906029</v>
          </cell>
          <cell r="AC36">
            <v>1719.3494984906029</v>
          </cell>
          <cell r="AD36">
            <v>1719</v>
          </cell>
          <cell r="AE36">
            <v>1719</v>
          </cell>
          <cell r="AF36">
            <v>1643</v>
          </cell>
          <cell r="AG36">
            <v>1719.3709221930078</v>
          </cell>
          <cell r="AH36">
            <v>1719.3494984906029</v>
          </cell>
          <cell r="AI36">
            <v>1719</v>
          </cell>
        </row>
        <row r="37">
          <cell r="A37">
            <v>34</v>
          </cell>
          <cell r="B37" t="str">
            <v>Interdepartmental</v>
          </cell>
          <cell r="D37">
            <v>0</v>
          </cell>
          <cell r="E37">
            <v>0</v>
          </cell>
          <cell r="F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T37">
            <v>34</v>
          </cell>
          <cell r="U37" t="str">
            <v>Interdepartmental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A38">
            <v>35</v>
          </cell>
          <cell r="B38" t="str">
            <v>Unbilled</v>
          </cell>
          <cell r="D38">
            <v>-9846.1388645437692</v>
          </cell>
          <cell r="E38">
            <v>-13496.932515337425</v>
          </cell>
          <cell r="F38">
            <v>54476.579998052395</v>
          </cell>
          <cell r="G38">
            <v>-4500.925114422047</v>
          </cell>
          <cell r="H38">
            <v>-46324.861232836694</v>
          </cell>
          <cell r="I38">
            <v>0</v>
          </cell>
          <cell r="T38">
            <v>35</v>
          </cell>
          <cell r="U38" t="str">
            <v>Unbilled</v>
          </cell>
          <cell r="X38">
            <v>-37552.919466355052</v>
          </cell>
          <cell r="Y38">
            <v>-6642.0294089005747</v>
          </cell>
          <cell r="Z38">
            <v>-38151.786931541537</v>
          </cell>
          <cell r="AA38">
            <v>42748.992112182299</v>
          </cell>
          <cell r="AB38">
            <v>-0.2434511636965625</v>
          </cell>
          <cell r="AC38">
            <v>-70643.684876813713</v>
          </cell>
          <cell r="AD38">
            <v>-30925.11442204694</v>
          </cell>
          <cell r="AE38">
            <v>14440.5492258253</v>
          </cell>
          <cell r="AF38">
            <v>-26304.411335086184</v>
          </cell>
          <cell r="AG38">
            <v>40994.254552536768</v>
          </cell>
          <cell r="AH38">
            <v>22380.952380952382</v>
          </cell>
        </row>
        <row r="39">
          <cell r="A39">
            <v>36</v>
          </cell>
          <cell r="B39" t="str">
            <v>Commercial Small Transp</v>
          </cell>
          <cell r="D39">
            <v>363403.39334283565</v>
          </cell>
          <cell r="E39">
            <v>35412</v>
          </cell>
          <cell r="F39">
            <v>33968</v>
          </cell>
          <cell r="G39">
            <v>33572</v>
          </cell>
          <cell r="H39">
            <v>30725</v>
          </cell>
          <cell r="I39">
            <v>27724</v>
          </cell>
          <cell r="J39">
            <v>28532.957444736585</v>
          </cell>
          <cell r="K39">
            <v>25955.32865907099</v>
          </cell>
          <cell r="L39">
            <v>26129</v>
          </cell>
          <cell r="M39">
            <v>28691</v>
          </cell>
          <cell r="N39">
            <v>28617.274051765442</v>
          </cell>
          <cell r="O39">
            <v>31648.748661018599</v>
          </cell>
          <cell r="P39">
            <v>32428.084526244034</v>
          </cell>
          <cell r="T39">
            <v>36</v>
          </cell>
          <cell r="U39" t="str">
            <v>Commercial Small Transp</v>
          </cell>
          <cell r="X39">
            <v>27997.728113740388</v>
          </cell>
          <cell r="Y39">
            <v>28757.139935728894</v>
          </cell>
          <cell r="Z39">
            <v>27548.16535203041</v>
          </cell>
          <cell r="AA39">
            <v>25475.021910604733</v>
          </cell>
          <cell r="AB39">
            <v>22867.465186483591</v>
          </cell>
          <cell r="AC39">
            <v>22786.834161067291</v>
          </cell>
          <cell r="AD39">
            <v>23388</v>
          </cell>
          <cell r="AE39">
            <v>22308</v>
          </cell>
          <cell r="AF39">
            <v>23750</v>
          </cell>
          <cell r="AG39">
            <v>23212.879540364214</v>
          </cell>
          <cell r="AH39">
            <v>25507.449605609116</v>
          </cell>
          <cell r="AI39">
            <v>30419</v>
          </cell>
        </row>
        <row r="40">
          <cell r="A40">
            <v>37</v>
          </cell>
          <cell r="B40" t="str">
            <v>Commercial Large Transp</v>
          </cell>
          <cell r="D40">
            <v>2969654.4036420295</v>
          </cell>
          <cell r="E40">
            <v>258799</v>
          </cell>
          <cell r="F40">
            <v>249821</v>
          </cell>
          <cell r="G40">
            <v>259558</v>
          </cell>
          <cell r="H40">
            <v>244799</v>
          </cell>
          <cell r="I40">
            <v>229174</v>
          </cell>
          <cell r="J40">
            <v>248358.84019865617</v>
          </cell>
          <cell r="K40">
            <v>242306.58584088032</v>
          </cell>
          <cell r="L40">
            <v>239021</v>
          </cell>
          <cell r="M40">
            <v>226147</v>
          </cell>
          <cell r="N40">
            <v>246655.76005453305</v>
          </cell>
          <cell r="O40">
            <v>251051.61164670368</v>
          </cell>
          <cell r="P40">
            <v>273962.6059012562</v>
          </cell>
          <cell r="T40">
            <v>37</v>
          </cell>
          <cell r="U40" t="str">
            <v>Commercial Large Transp</v>
          </cell>
          <cell r="X40">
            <v>249499.89190768322</v>
          </cell>
          <cell r="Y40">
            <v>238378.83727724216</v>
          </cell>
          <cell r="Z40">
            <v>236162.29330996209</v>
          </cell>
          <cell r="AA40">
            <v>225203.71993378128</v>
          </cell>
          <cell r="AB40">
            <v>204986.46411529847</v>
          </cell>
          <cell r="AC40">
            <v>199713.4092900964</v>
          </cell>
          <cell r="AD40">
            <v>209902</v>
          </cell>
          <cell r="AE40">
            <v>201860</v>
          </cell>
          <cell r="AF40">
            <v>196681</v>
          </cell>
          <cell r="AG40">
            <v>202063.79199532547</v>
          </cell>
          <cell r="AH40">
            <v>207554.67913136625</v>
          </cell>
          <cell r="AI40">
            <v>229131</v>
          </cell>
        </row>
        <row r="41">
          <cell r="A41">
            <v>38</v>
          </cell>
          <cell r="B41" t="str">
            <v>Interruptible Transp</v>
          </cell>
          <cell r="D41">
            <v>717831.7255818483</v>
          </cell>
          <cell r="E41">
            <v>60843</v>
          </cell>
          <cell r="F41">
            <v>61828</v>
          </cell>
          <cell r="G41">
            <v>62295</v>
          </cell>
          <cell r="H41">
            <v>60962</v>
          </cell>
          <cell r="I41">
            <v>56201</v>
          </cell>
          <cell r="J41">
            <v>51562.414061739219</v>
          </cell>
          <cell r="K41">
            <v>53369.802317655078</v>
          </cell>
          <cell r="L41">
            <v>53377</v>
          </cell>
          <cell r="M41">
            <v>56234</v>
          </cell>
          <cell r="N41">
            <v>58200.311617489533</v>
          </cell>
          <cell r="O41">
            <v>80125.815561398384</v>
          </cell>
          <cell r="P41">
            <v>62833.382023566075</v>
          </cell>
          <cell r="T41">
            <v>38</v>
          </cell>
          <cell r="U41" t="str">
            <v>Interruptible Transp</v>
          </cell>
          <cell r="X41">
            <v>60925.682150160683</v>
          </cell>
          <cell r="Y41">
            <v>62240.458661992408</v>
          </cell>
          <cell r="Z41">
            <v>66098.528581166625</v>
          </cell>
          <cell r="AA41">
            <v>58713.506670561881</v>
          </cell>
          <cell r="AB41">
            <v>52889.765313078198</v>
          </cell>
          <cell r="AC41">
            <v>105399.94157172072</v>
          </cell>
          <cell r="AD41">
            <v>47184</v>
          </cell>
          <cell r="AE41">
            <v>54030</v>
          </cell>
          <cell r="AF41">
            <v>45417</v>
          </cell>
          <cell r="AG41">
            <v>56369.941571720716</v>
          </cell>
          <cell r="AH41">
            <v>59120.849157658973</v>
          </cell>
          <cell r="AI41">
            <v>56750</v>
          </cell>
        </row>
        <row r="42">
          <cell r="A42">
            <v>39</v>
          </cell>
          <cell r="D42">
            <v>7366121.6585098431</v>
          </cell>
          <cell r="E42">
            <v>734219.06748466264</v>
          </cell>
          <cell r="F42">
            <v>799172.57999805245</v>
          </cell>
          <cell r="G42">
            <v>719435.07488557789</v>
          </cell>
          <cell r="H42">
            <v>592877.13876716327</v>
          </cell>
          <cell r="I42">
            <v>581364</v>
          </cell>
          <cell r="J42">
            <v>551735.5623721882</v>
          </cell>
          <cell r="K42">
            <v>521159.10994254553</v>
          </cell>
          <cell r="L42">
            <v>500515</v>
          </cell>
          <cell r="M42">
            <v>513657</v>
          </cell>
          <cell r="N42">
            <v>548904.83856632374</v>
          </cell>
          <cell r="O42">
            <v>624008.08257863473</v>
          </cell>
          <cell r="P42">
            <v>679074.20391469472</v>
          </cell>
          <cell r="T42">
            <v>39</v>
          </cell>
          <cell r="X42">
            <v>726977.69208296773</v>
          </cell>
          <cell r="Y42">
            <v>804601.44220469368</v>
          </cell>
          <cell r="Z42">
            <v>691471.85120265232</v>
          </cell>
          <cell r="AA42">
            <v>671504.56714383094</v>
          </cell>
          <cell r="AB42">
            <v>553298.71457785566</v>
          </cell>
          <cell r="AC42">
            <v>476247.15162138472</v>
          </cell>
          <cell r="AD42">
            <v>467911.88557795307</v>
          </cell>
          <cell r="AE42">
            <v>507131.54922582529</v>
          </cell>
          <cell r="AF42">
            <v>449704.58866491378</v>
          </cell>
          <cell r="AG42">
            <v>545601.23283669271</v>
          </cell>
          <cell r="AH42">
            <v>561240.82189112867</v>
          </cell>
          <cell r="AI42">
            <v>628169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675</v>
          </cell>
          <cell r="F45">
            <v>670</v>
          </cell>
          <cell r="G45">
            <v>677</v>
          </cell>
          <cell r="H45">
            <v>671</v>
          </cell>
          <cell r="I45">
            <v>670</v>
          </cell>
          <cell r="J45">
            <v>672</v>
          </cell>
          <cell r="K45">
            <v>669</v>
          </cell>
          <cell r="L45">
            <v>670</v>
          </cell>
          <cell r="M45">
            <v>674</v>
          </cell>
          <cell r="N45">
            <v>670</v>
          </cell>
          <cell r="O45">
            <v>670</v>
          </cell>
          <cell r="P45">
            <v>675</v>
          </cell>
          <cell r="T45">
            <v>42</v>
          </cell>
          <cell r="U45" t="str">
            <v>TS1 - RS</v>
          </cell>
          <cell r="X45">
            <v>674</v>
          </cell>
          <cell r="Y45">
            <v>678</v>
          </cell>
          <cell r="Z45">
            <v>678</v>
          </cell>
          <cell r="AA45">
            <v>681</v>
          </cell>
          <cell r="AB45">
            <v>679</v>
          </cell>
          <cell r="AC45">
            <v>682</v>
          </cell>
          <cell r="AD45">
            <v>676</v>
          </cell>
          <cell r="AE45">
            <v>672</v>
          </cell>
          <cell r="AF45">
            <v>666</v>
          </cell>
          <cell r="AG45">
            <v>676</v>
          </cell>
          <cell r="AH45">
            <v>671</v>
          </cell>
          <cell r="AI45">
            <v>668</v>
          </cell>
        </row>
        <row r="46">
          <cell r="A46">
            <v>43</v>
          </cell>
          <cell r="B46" t="str">
            <v>TS1 - Com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24</v>
          </cell>
          <cell r="L47">
            <v>24</v>
          </cell>
          <cell r="M47">
            <v>24</v>
          </cell>
          <cell r="N47">
            <v>24</v>
          </cell>
          <cell r="O47">
            <v>24</v>
          </cell>
          <cell r="P47">
            <v>25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24</v>
          </cell>
          <cell r="AC47">
            <v>24</v>
          </cell>
          <cell r="AD47">
            <v>24</v>
          </cell>
          <cell r="AE47">
            <v>24</v>
          </cell>
          <cell r="AF47">
            <v>24</v>
          </cell>
          <cell r="AG47">
            <v>24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702</v>
          </cell>
          <cell r="F50">
            <v>698</v>
          </cell>
          <cell r="G50">
            <v>705</v>
          </cell>
          <cell r="H50">
            <v>699</v>
          </cell>
          <cell r="I50">
            <v>698</v>
          </cell>
          <cell r="J50">
            <v>700</v>
          </cell>
          <cell r="K50">
            <v>696</v>
          </cell>
          <cell r="L50">
            <v>697</v>
          </cell>
          <cell r="M50">
            <v>701</v>
          </cell>
          <cell r="N50">
            <v>697</v>
          </cell>
          <cell r="O50">
            <v>697</v>
          </cell>
          <cell r="P50">
            <v>703</v>
          </cell>
          <cell r="T50">
            <v>47</v>
          </cell>
          <cell r="X50">
            <v>701</v>
          </cell>
          <cell r="Y50">
            <v>705</v>
          </cell>
          <cell r="Z50">
            <v>705</v>
          </cell>
          <cell r="AA50">
            <v>708</v>
          </cell>
          <cell r="AB50">
            <v>706</v>
          </cell>
          <cell r="AC50">
            <v>709</v>
          </cell>
          <cell r="AD50">
            <v>703</v>
          </cell>
          <cell r="AE50">
            <v>699</v>
          </cell>
          <cell r="AF50">
            <v>693</v>
          </cell>
          <cell r="AG50">
            <v>703</v>
          </cell>
          <cell r="AH50">
            <v>697</v>
          </cell>
          <cell r="AI50">
            <v>694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11015.757133119097</v>
          </cell>
          <cell r="E53">
            <v>1123</v>
          </cell>
          <cell r="F53">
            <v>1008</v>
          </cell>
          <cell r="G53">
            <v>1056</v>
          </cell>
          <cell r="H53">
            <v>810</v>
          </cell>
          <cell r="I53">
            <v>680</v>
          </cell>
          <cell r="J53">
            <v>1145.7220761515241</v>
          </cell>
          <cell r="K53">
            <v>798</v>
          </cell>
          <cell r="L53">
            <v>835</v>
          </cell>
          <cell r="M53">
            <v>848.76813711169541</v>
          </cell>
          <cell r="N53">
            <v>851.0078878177037</v>
          </cell>
          <cell r="O53">
            <v>846.82052780212291</v>
          </cell>
          <cell r="P53">
            <v>1013.4385042360502</v>
          </cell>
          <cell r="T53">
            <v>50</v>
          </cell>
          <cell r="U53" t="str">
            <v>TS1 - RS</v>
          </cell>
          <cell r="X53">
            <v>1199.1128639594897</v>
          </cell>
          <cell r="Y53">
            <v>1193.3781283474534</v>
          </cell>
          <cell r="Z53">
            <v>1064.6684195150453</v>
          </cell>
          <cell r="AA53">
            <v>910.9377738825591</v>
          </cell>
          <cell r="AB53">
            <v>878.46917908267596</v>
          </cell>
          <cell r="AC53">
            <v>817.50900769305679</v>
          </cell>
          <cell r="AD53">
            <v>871</v>
          </cell>
          <cell r="AE53">
            <v>852</v>
          </cell>
          <cell r="AF53">
            <v>891</v>
          </cell>
          <cell r="AG53">
            <v>847.40481059499461</v>
          </cell>
          <cell r="AH53">
            <v>820.72256305385133</v>
          </cell>
          <cell r="AI53">
            <v>1138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T54">
            <v>51</v>
          </cell>
          <cell r="U54" t="str">
            <v>TS1 - Com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7297.0313565098841</v>
          </cell>
          <cell r="E55">
            <v>473</v>
          </cell>
          <cell r="F55">
            <v>670</v>
          </cell>
          <cell r="G55">
            <v>342</v>
          </cell>
          <cell r="H55">
            <v>1078</v>
          </cell>
          <cell r="I55">
            <v>678</v>
          </cell>
          <cell r="J55">
            <v>761.21530820917326</v>
          </cell>
          <cell r="K55">
            <v>630</v>
          </cell>
          <cell r="L55">
            <v>684</v>
          </cell>
          <cell r="M55">
            <v>653.81244522348811</v>
          </cell>
          <cell r="N55">
            <v>678.35232252410162</v>
          </cell>
          <cell r="O55">
            <v>542.31181225046259</v>
          </cell>
          <cell r="P55">
            <v>106.33946830265849</v>
          </cell>
          <cell r="T55">
            <v>52</v>
          </cell>
          <cell r="U55" t="str">
            <v>TS2</v>
          </cell>
          <cell r="X55">
            <v>689.858798325056</v>
          </cell>
          <cell r="Y55">
            <v>605.67728113740384</v>
          </cell>
          <cell r="Z55">
            <v>684.34414256500145</v>
          </cell>
          <cell r="AA55">
            <v>602.0888109845165</v>
          </cell>
          <cell r="AB55">
            <v>540.9484857337618</v>
          </cell>
          <cell r="AC55">
            <v>483.00710877397995</v>
          </cell>
          <cell r="AD55">
            <v>572</v>
          </cell>
          <cell r="AE55">
            <v>544</v>
          </cell>
          <cell r="AF55">
            <v>630</v>
          </cell>
          <cell r="AG55">
            <v>649.13818288051414</v>
          </cell>
          <cell r="AH55">
            <v>566.75430908559747</v>
          </cell>
          <cell r="AI55">
            <v>832</v>
          </cell>
        </row>
        <row r="56">
          <cell r="A56">
            <v>53</v>
          </cell>
          <cell r="B56" t="str">
            <v>TS3</v>
          </cell>
          <cell r="D56">
            <v>178.10039925990847</v>
          </cell>
          <cell r="E56">
            <v>16</v>
          </cell>
          <cell r="F56">
            <v>9</v>
          </cell>
          <cell r="G56">
            <v>24</v>
          </cell>
          <cell r="H56">
            <v>14</v>
          </cell>
          <cell r="I56">
            <v>14</v>
          </cell>
          <cell r="J56">
            <v>15.818482812347842</v>
          </cell>
          <cell r="K56">
            <v>23</v>
          </cell>
          <cell r="L56">
            <v>17</v>
          </cell>
          <cell r="M56">
            <v>11.296133995520499</v>
          </cell>
          <cell r="N56">
            <v>25.416301489921121</v>
          </cell>
          <cell r="O56">
            <v>0.77904372382899989</v>
          </cell>
          <cell r="P56">
            <v>7.7904372382899991</v>
          </cell>
          <cell r="T56">
            <v>53</v>
          </cell>
          <cell r="U56" t="str">
            <v>TS3</v>
          </cell>
          <cell r="X56">
            <v>21.257181809329047</v>
          </cell>
          <cell r="Y56">
            <v>18.988216963677086</v>
          </cell>
          <cell r="Z56">
            <v>20.341805433829972</v>
          </cell>
          <cell r="AA56">
            <v>17.782646801051712</v>
          </cell>
          <cell r="AB56">
            <v>8.9590028240334991</v>
          </cell>
          <cell r="AC56">
            <v>10.322329340734248</v>
          </cell>
          <cell r="AD56">
            <v>12</v>
          </cell>
          <cell r="AE56">
            <v>12</v>
          </cell>
          <cell r="AF56">
            <v>10</v>
          </cell>
          <cell r="AG56">
            <v>4.6742623429739991</v>
          </cell>
          <cell r="AH56">
            <v>11.003992599084624</v>
          </cell>
          <cell r="AI56">
            <v>16</v>
          </cell>
        </row>
        <row r="57">
          <cell r="A57">
            <v>54</v>
          </cell>
          <cell r="B57" t="str">
            <v>TS4</v>
          </cell>
          <cell r="D57">
            <v>131184.12104391857</v>
          </cell>
          <cell r="E57">
            <v>0</v>
          </cell>
          <cell r="F57">
            <v>1704</v>
          </cell>
          <cell r="G57">
            <v>38465</v>
          </cell>
          <cell r="H57">
            <v>12363</v>
          </cell>
          <cell r="I57">
            <v>4954</v>
          </cell>
          <cell r="J57">
            <v>11203.086960755672</v>
          </cell>
          <cell r="K57">
            <v>21467</v>
          </cell>
          <cell r="L57">
            <v>13178</v>
          </cell>
          <cell r="M57">
            <v>16329.632875645146</v>
          </cell>
          <cell r="N57">
            <v>6520.4985879832502</v>
          </cell>
          <cell r="O57">
            <v>3958.1263998441914</v>
          </cell>
          <cell r="P57">
            <v>1041.7762196903302</v>
          </cell>
          <cell r="T57">
            <v>54</v>
          </cell>
          <cell r="U57" t="str">
            <v>TS4</v>
          </cell>
          <cell r="X57">
            <v>47690.68166325835</v>
          </cell>
          <cell r="Y57">
            <v>54873.618658097177</v>
          </cell>
          <cell r="Z57">
            <v>0</v>
          </cell>
          <cell r="AA57">
            <v>23823.078196513779</v>
          </cell>
          <cell r="AB57">
            <v>42378.420488849937</v>
          </cell>
          <cell r="AC57">
            <v>13224.656733859189</v>
          </cell>
          <cell r="AD57">
            <v>7936</v>
          </cell>
          <cell r="AE57">
            <v>12526</v>
          </cell>
          <cell r="AF57">
            <v>13482</v>
          </cell>
          <cell r="AG57">
            <v>8891.4207809913332</v>
          </cell>
          <cell r="AH57">
            <v>12420.391469471224</v>
          </cell>
          <cell r="AI57">
            <v>15895</v>
          </cell>
        </row>
        <row r="58">
          <cell r="A58">
            <v>55</v>
          </cell>
          <cell r="D58">
            <v>149675.00993280747</v>
          </cell>
          <cell r="E58">
            <v>1612</v>
          </cell>
          <cell r="F58">
            <v>3391</v>
          </cell>
          <cell r="G58">
            <v>39887</v>
          </cell>
          <cell r="H58">
            <v>14265</v>
          </cell>
          <cell r="I58">
            <v>6326</v>
          </cell>
          <cell r="J58">
            <v>13125.842827928718</v>
          </cell>
          <cell r="K58">
            <v>22918</v>
          </cell>
          <cell r="L58">
            <v>14714</v>
          </cell>
          <cell r="M58">
            <v>17843.50959197585</v>
          </cell>
          <cell r="N58">
            <v>8075.2750998149768</v>
          </cell>
          <cell r="O58">
            <v>5348.0377836206062</v>
          </cell>
          <cell r="P58">
            <v>2169.344629467329</v>
          </cell>
          <cell r="T58">
            <v>55</v>
          </cell>
          <cell r="X58">
            <v>49600.910507352222</v>
          </cell>
          <cell r="Y58">
            <v>56691.66228454571</v>
          </cell>
          <cell r="Z58">
            <v>1769.3543675138767</v>
          </cell>
          <cell r="AA58">
            <v>25353.887428181908</v>
          </cell>
          <cell r="AB58">
            <v>43806.797156490407</v>
          </cell>
          <cell r="AC58">
            <v>14535.495179666959</v>
          </cell>
          <cell r="AD58">
            <v>9391</v>
          </cell>
          <cell r="AE58">
            <v>13934</v>
          </cell>
          <cell r="AF58">
            <v>15013</v>
          </cell>
          <cell r="AG58">
            <v>10392.638036809816</v>
          </cell>
          <cell r="AH58">
            <v>13818.872334209758</v>
          </cell>
          <cell r="AI58">
            <v>17881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628</v>
          </cell>
          <cell r="F62">
            <v>622</v>
          </cell>
          <cell r="G62">
            <v>621</v>
          </cell>
          <cell r="H62">
            <v>620</v>
          </cell>
          <cell r="I62">
            <v>614</v>
          </cell>
          <cell r="J62">
            <v>602</v>
          </cell>
          <cell r="K62">
            <v>600</v>
          </cell>
          <cell r="L62">
            <v>603</v>
          </cell>
          <cell r="M62">
            <v>599</v>
          </cell>
          <cell r="N62">
            <v>595</v>
          </cell>
          <cell r="O62">
            <v>600</v>
          </cell>
          <cell r="P62">
            <v>603</v>
          </cell>
          <cell r="T62">
            <v>59</v>
          </cell>
          <cell r="U62" t="str">
            <v>Residential</v>
          </cell>
          <cell r="X62">
            <v>655</v>
          </cell>
          <cell r="Y62">
            <v>650</v>
          </cell>
          <cell r="Z62">
            <v>657</v>
          </cell>
          <cell r="AA62">
            <v>647</v>
          </cell>
          <cell r="AB62">
            <v>636</v>
          </cell>
          <cell r="AC62">
            <v>626</v>
          </cell>
          <cell r="AD62">
            <v>614</v>
          </cell>
          <cell r="AE62">
            <v>608</v>
          </cell>
          <cell r="AF62">
            <v>603</v>
          </cell>
          <cell r="AG62">
            <v>599</v>
          </cell>
          <cell r="AH62">
            <v>599</v>
          </cell>
          <cell r="AI62">
            <v>599</v>
          </cell>
        </row>
        <row r="63">
          <cell r="A63">
            <v>60</v>
          </cell>
          <cell r="B63" t="str">
            <v>Commercial</v>
          </cell>
          <cell r="E63">
            <v>19</v>
          </cell>
          <cell r="F63">
            <v>19</v>
          </cell>
          <cell r="G63">
            <v>19</v>
          </cell>
          <cell r="H63">
            <v>19</v>
          </cell>
          <cell r="I63">
            <v>19</v>
          </cell>
          <cell r="J63">
            <v>19</v>
          </cell>
          <cell r="K63">
            <v>19</v>
          </cell>
          <cell r="L63">
            <v>19</v>
          </cell>
          <cell r="M63">
            <v>18</v>
          </cell>
          <cell r="N63">
            <v>18</v>
          </cell>
          <cell r="O63">
            <v>19</v>
          </cell>
          <cell r="P63">
            <v>19</v>
          </cell>
          <cell r="T63">
            <v>60</v>
          </cell>
          <cell r="U63" t="str">
            <v>Commercial</v>
          </cell>
          <cell r="X63">
            <v>4</v>
          </cell>
          <cell r="Y63">
            <v>4</v>
          </cell>
          <cell r="Z63">
            <v>4</v>
          </cell>
          <cell r="AA63">
            <v>4</v>
          </cell>
          <cell r="AB63">
            <v>4</v>
          </cell>
          <cell r="AC63">
            <v>4</v>
          </cell>
          <cell r="AD63">
            <v>4</v>
          </cell>
          <cell r="AE63">
            <v>4</v>
          </cell>
          <cell r="AF63">
            <v>4</v>
          </cell>
          <cell r="AG63">
            <v>4</v>
          </cell>
          <cell r="AH63">
            <v>4</v>
          </cell>
          <cell r="AI63">
            <v>4</v>
          </cell>
        </row>
        <row r="64">
          <cell r="A64">
            <v>61</v>
          </cell>
          <cell r="B64" t="str">
            <v>Commercial Small Transp</v>
          </cell>
          <cell r="E64">
            <v>7</v>
          </cell>
          <cell r="F64">
            <v>7</v>
          </cell>
          <cell r="G64">
            <v>7</v>
          </cell>
          <cell r="H64">
            <v>7</v>
          </cell>
          <cell r="I64">
            <v>7</v>
          </cell>
          <cell r="J64">
            <v>7</v>
          </cell>
          <cell r="K64">
            <v>7</v>
          </cell>
          <cell r="L64">
            <v>7</v>
          </cell>
          <cell r="M64">
            <v>7</v>
          </cell>
          <cell r="N64">
            <v>7</v>
          </cell>
          <cell r="O64">
            <v>7</v>
          </cell>
          <cell r="P64">
            <v>7</v>
          </cell>
          <cell r="T64">
            <v>61</v>
          </cell>
          <cell r="U64" t="str">
            <v>Special Contract</v>
          </cell>
          <cell r="X64">
            <v>22</v>
          </cell>
          <cell r="Y64">
            <v>24</v>
          </cell>
          <cell r="Z64">
            <v>23</v>
          </cell>
          <cell r="AA64">
            <v>23</v>
          </cell>
          <cell r="AB64">
            <v>23</v>
          </cell>
          <cell r="AC64">
            <v>23</v>
          </cell>
          <cell r="AD64">
            <v>23</v>
          </cell>
          <cell r="AE64">
            <v>22</v>
          </cell>
          <cell r="AF64">
            <v>22</v>
          </cell>
          <cell r="AG64">
            <v>22</v>
          </cell>
          <cell r="AH64">
            <v>22</v>
          </cell>
          <cell r="AI64">
            <v>22</v>
          </cell>
        </row>
        <row r="65">
          <cell r="A65">
            <v>62</v>
          </cell>
          <cell r="B65" t="str">
            <v>Other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E66">
            <v>654</v>
          </cell>
          <cell r="F66">
            <v>648</v>
          </cell>
          <cell r="G66">
            <v>647</v>
          </cell>
          <cell r="H66">
            <v>646</v>
          </cell>
          <cell r="I66">
            <v>640</v>
          </cell>
          <cell r="J66">
            <v>628</v>
          </cell>
          <cell r="K66">
            <v>626</v>
          </cell>
          <cell r="L66">
            <v>629</v>
          </cell>
          <cell r="M66">
            <v>624</v>
          </cell>
          <cell r="N66">
            <v>620</v>
          </cell>
          <cell r="O66">
            <v>626</v>
          </cell>
          <cell r="P66">
            <v>629</v>
          </cell>
          <cell r="T66">
            <v>63</v>
          </cell>
          <cell r="X66">
            <v>681</v>
          </cell>
          <cell r="Y66">
            <v>678</v>
          </cell>
          <cell r="Z66">
            <v>684</v>
          </cell>
          <cell r="AA66">
            <v>674</v>
          </cell>
          <cell r="AB66">
            <v>663</v>
          </cell>
          <cell r="AC66">
            <v>653</v>
          </cell>
          <cell r="AD66">
            <v>641</v>
          </cell>
          <cell r="AE66">
            <v>634</v>
          </cell>
          <cell r="AF66">
            <v>629</v>
          </cell>
          <cell r="AG66">
            <v>625</v>
          </cell>
          <cell r="AH66">
            <v>625</v>
          </cell>
          <cell r="AI66">
            <v>625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1978</v>
          </cell>
          <cell r="E69">
            <v>842</v>
          </cell>
          <cell r="F69">
            <v>1136</v>
          </cell>
          <cell r="G69">
            <v>859</v>
          </cell>
          <cell r="H69">
            <v>603</v>
          </cell>
          <cell r="I69">
            <v>504</v>
          </cell>
          <cell r="J69">
            <v>489.85198169247246</v>
          </cell>
          <cell r="K69">
            <v>394</v>
          </cell>
          <cell r="L69">
            <v>427</v>
          </cell>
          <cell r="M69">
            <v>451.55321842438406</v>
          </cell>
          <cell r="N69">
            <v>444.44444444444446</v>
          </cell>
          <cell r="O69">
            <v>741.64962508520784</v>
          </cell>
          <cell r="P69">
            <v>882.36439770182096</v>
          </cell>
          <cell r="T69">
            <v>66</v>
          </cell>
          <cell r="U69" t="str">
            <v>Residential</v>
          </cell>
          <cell r="X69">
            <v>1017.2830850131463</v>
          </cell>
          <cell r="Y69">
            <v>1132.7782646801052</v>
          </cell>
          <cell r="Z69">
            <v>938.7389229720518</v>
          </cell>
          <cell r="AA69">
            <v>591.69831531794716</v>
          </cell>
          <cell r="AB69">
            <v>479.585159217061</v>
          </cell>
          <cell r="AC69">
            <v>437.53043139546207</v>
          </cell>
          <cell r="AD69">
            <v>460</v>
          </cell>
          <cell r="AE69">
            <v>436</v>
          </cell>
          <cell r="AF69">
            <v>428</v>
          </cell>
          <cell r="AG69">
            <v>421.65741552244617</v>
          </cell>
          <cell r="AH69">
            <v>435.58282208588957</v>
          </cell>
          <cell r="AI69">
            <v>551</v>
          </cell>
        </row>
        <row r="70">
          <cell r="A70">
            <v>67</v>
          </cell>
          <cell r="B70" t="str">
            <v>Commercial</v>
          </cell>
          <cell r="D70">
            <v>15</v>
          </cell>
          <cell r="E70">
            <v>6</v>
          </cell>
          <cell r="F70">
            <v>9</v>
          </cell>
          <cell r="G70">
            <v>3</v>
          </cell>
          <cell r="H70">
            <v>3</v>
          </cell>
          <cell r="I70">
            <v>1</v>
          </cell>
          <cell r="J70">
            <v>0.20255136819553998</v>
          </cell>
          <cell r="K70">
            <v>1</v>
          </cell>
          <cell r="L70">
            <v>107</v>
          </cell>
          <cell r="M70">
            <v>130.29506281040022</v>
          </cell>
          <cell r="N70">
            <v>223.6829292044016</v>
          </cell>
          <cell r="O70">
            <v>392.83279774077317</v>
          </cell>
          <cell r="P70">
            <v>343.65566267406757</v>
          </cell>
          <cell r="T70">
            <v>67</v>
          </cell>
          <cell r="U70" t="str">
            <v>Commercial</v>
          </cell>
          <cell r="X70">
            <v>2.9369948388353295</v>
          </cell>
          <cell r="Y70">
            <v>5.9304703476482619</v>
          </cell>
          <cell r="Z70">
            <v>0.91148115687992981</v>
          </cell>
          <cell r="AA70">
            <v>0.60765410458661995</v>
          </cell>
          <cell r="AB70">
            <v>0.91148115687992981</v>
          </cell>
          <cell r="AC70">
            <v>1.3633265167007498</v>
          </cell>
          <cell r="AD70">
            <v>1</v>
          </cell>
          <cell r="AE70">
            <v>1</v>
          </cell>
          <cell r="AF70">
            <v>1</v>
          </cell>
          <cell r="AG70">
            <v>0.58428279287174989</v>
          </cell>
          <cell r="AH70">
            <v>0.58428279287174989</v>
          </cell>
          <cell r="AI70">
            <v>0</v>
          </cell>
        </row>
        <row r="71">
          <cell r="A71">
            <v>68</v>
          </cell>
          <cell r="B71" t="str">
            <v>Commercial Small Transp</v>
          </cell>
          <cell r="D71">
            <v>1891</v>
          </cell>
          <cell r="E71">
            <v>944</v>
          </cell>
          <cell r="F71">
            <v>947</v>
          </cell>
          <cell r="G71">
            <v>955</v>
          </cell>
          <cell r="H71">
            <v>707</v>
          </cell>
          <cell r="I71">
            <v>648</v>
          </cell>
          <cell r="J71">
            <v>461.54737559645537</v>
          </cell>
          <cell r="K71">
            <v>248</v>
          </cell>
          <cell r="L71">
            <v>130</v>
          </cell>
          <cell r="M71">
            <v>207.12825007303536</v>
          </cell>
          <cell r="N71">
            <v>192.03427792384846</v>
          </cell>
          <cell r="O71">
            <v>189.01548349401111</v>
          </cell>
          <cell r="P71">
            <v>126.20508326029798</v>
          </cell>
          <cell r="T71">
            <v>68</v>
          </cell>
          <cell r="U71" t="str">
            <v>Special Contract</v>
          </cell>
          <cell r="X71">
            <v>949</v>
          </cell>
          <cell r="Y71">
            <v>950</v>
          </cell>
          <cell r="Z71">
            <v>1027</v>
          </cell>
          <cell r="AA71">
            <v>638</v>
          </cell>
          <cell r="AB71">
            <v>494</v>
          </cell>
          <cell r="AC71">
            <v>396</v>
          </cell>
          <cell r="AD71">
            <v>295</v>
          </cell>
          <cell r="AE71">
            <v>318</v>
          </cell>
          <cell r="AF71">
            <v>304</v>
          </cell>
          <cell r="AG71">
            <v>388.93757912162818</v>
          </cell>
          <cell r="AH71">
            <v>501.21725581848278</v>
          </cell>
          <cell r="AI71">
            <v>851</v>
          </cell>
        </row>
        <row r="72">
          <cell r="A72">
            <v>69</v>
          </cell>
          <cell r="D72">
            <v>3884</v>
          </cell>
          <cell r="E72">
            <v>1792</v>
          </cell>
          <cell r="F72">
            <v>2092</v>
          </cell>
          <cell r="G72">
            <v>1817</v>
          </cell>
          <cell r="H72">
            <v>1313</v>
          </cell>
          <cell r="I72">
            <v>1153</v>
          </cell>
          <cell r="J72">
            <v>951.60190865712343</v>
          </cell>
          <cell r="K72">
            <v>643</v>
          </cell>
          <cell r="L72">
            <v>664</v>
          </cell>
          <cell r="M72">
            <v>788.97653130781964</v>
          </cell>
          <cell r="N72">
            <v>860.1616515726945</v>
          </cell>
          <cell r="O72">
            <v>1323.4979063199921</v>
          </cell>
          <cell r="P72">
            <v>1352.2251436361864</v>
          </cell>
          <cell r="T72">
            <v>69</v>
          </cell>
          <cell r="X72">
            <v>1969.2200798519816</v>
          </cell>
          <cell r="Y72">
            <v>2088.7087350277534</v>
          </cell>
          <cell r="Z72">
            <v>1966.6504041289318</v>
          </cell>
          <cell r="AA72">
            <v>1230.3059694225337</v>
          </cell>
          <cell r="AB72">
            <v>974.49664037394086</v>
          </cell>
          <cell r="AC72">
            <v>834.89375791216276</v>
          </cell>
          <cell r="AD72">
            <v>756</v>
          </cell>
          <cell r="AE72">
            <v>755</v>
          </cell>
          <cell r="AF72">
            <v>733</v>
          </cell>
          <cell r="AG72">
            <v>811.17927743694611</v>
          </cell>
          <cell r="AH72">
            <v>937.38436069724412</v>
          </cell>
          <cell r="AI72">
            <v>1402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716767</v>
          </cell>
          <cell r="E76">
            <v>59166</v>
          </cell>
          <cell r="F76">
            <v>59334</v>
          </cell>
          <cell r="G76">
            <v>59639</v>
          </cell>
          <cell r="H76">
            <v>59848</v>
          </cell>
          <cell r="I76">
            <v>59662</v>
          </cell>
          <cell r="J76">
            <v>59783</v>
          </cell>
          <cell r="K76">
            <v>59748</v>
          </cell>
          <cell r="L76">
            <v>59653</v>
          </cell>
          <cell r="M76">
            <v>59729</v>
          </cell>
          <cell r="N76">
            <v>59821</v>
          </cell>
          <cell r="O76">
            <v>60029</v>
          </cell>
          <cell r="P76">
            <v>60355</v>
          </cell>
          <cell r="T76">
            <v>73</v>
          </cell>
          <cell r="X76">
            <v>58823</v>
          </cell>
          <cell r="Y76">
            <v>59020</v>
          </cell>
          <cell r="Z76">
            <v>59259</v>
          </cell>
          <cell r="AA76">
            <v>59414</v>
          </cell>
          <cell r="AB76">
            <v>59385</v>
          </cell>
          <cell r="AC76">
            <v>59269.3</v>
          </cell>
          <cell r="AD76">
            <v>58986</v>
          </cell>
          <cell r="AE76">
            <v>58910</v>
          </cell>
          <cell r="AF76">
            <v>58805</v>
          </cell>
          <cell r="AG76">
            <v>58804</v>
          </cell>
          <cell r="AH76">
            <v>58940</v>
          </cell>
          <cell r="AI76">
            <v>59199.7</v>
          </cell>
        </row>
        <row r="77">
          <cell r="A77">
            <v>74</v>
          </cell>
          <cell r="B77" t="str">
            <v>Volume (mcfs)</v>
          </cell>
          <cell r="D77">
            <v>8163554.6300000008</v>
          </cell>
          <cell r="E77">
            <v>910995</v>
          </cell>
          <cell r="F77">
            <v>830694</v>
          </cell>
          <cell r="G77">
            <v>756332</v>
          </cell>
          <cell r="H77">
            <v>749787</v>
          </cell>
          <cell r="I77">
            <v>649554</v>
          </cell>
          <cell r="J77">
            <v>559046</v>
          </cell>
          <cell r="K77">
            <v>567097</v>
          </cell>
          <cell r="L77">
            <v>535585</v>
          </cell>
          <cell r="M77">
            <v>545197.78</v>
          </cell>
          <cell r="N77">
            <v>588866.56000000006</v>
          </cell>
          <cell r="O77">
            <v>682880.23</v>
          </cell>
          <cell r="P77">
            <v>787520.06</v>
          </cell>
          <cell r="T77">
            <v>74</v>
          </cell>
          <cell r="X77">
            <v>961993.65079365089</v>
          </cell>
          <cell r="Y77">
            <v>755963.9692277729</v>
          </cell>
          <cell r="Z77">
            <v>737500.89590028254</v>
          </cell>
          <cell r="AA77">
            <v>805116.50598889857</v>
          </cell>
          <cell r="AB77">
            <v>676926.10770279483</v>
          </cell>
          <cell r="AC77">
            <v>581891.13837764144</v>
          </cell>
          <cell r="AD77">
            <v>548761.82685753237</v>
          </cell>
          <cell r="AE77">
            <v>537896.5819456618</v>
          </cell>
          <cell r="AF77">
            <v>575134.59927938459</v>
          </cell>
          <cell r="AG77">
            <v>620397</v>
          </cell>
          <cell r="AH77">
            <v>702747.24900185014</v>
          </cell>
          <cell r="AI77">
            <v>848298.5392930177</v>
          </cell>
        </row>
        <row r="78">
          <cell r="A78">
            <v>75</v>
          </cell>
          <cell r="B78" t="str">
            <v>Volume (dts) (mcfs*1.0269)</v>
          </cell>
          <cell r="D78">
            <v>8383154</v>
          </cell>
          <cell r="E78">
            <v>935501</v>
          </cell>
          <cell r="F78">
            <v>853040</v>
          </cell>
          <cell r="G78">
            <v>776677</v>
          </cell>
          <cell r="H78">
            <v>769956</v>
          </cell>
          <cell r="I78">
            <v>667027</v>
          </cell>
          <cell r="J78">
            <v>574084</v>
          </cell>
          <cell r="K78">
            <v>582352</v>
          </cell>
          <cell r="L78">
            <v>549992</v>
          </cell>
          <cell r="M78">
            <v>559864</v>
          </cell>
          <cell r="N78">
            <v>604707</v>
          </cell>
          <cell r="O78">
            <v>701250</v>
          </cell>
          <cell r="P78">
            <v>808704</v>
          </cell>
          <cell r="T78">
            <v>75</v>
          </cell>
          <cell r="X78">
            <v>987871</v>
          </cell>
          <cell r="Y78">
            <v>776299</v>
          </cell>
          <cell r="Z78">
            <v>757340</v>
          </cell>
          <cell r="AA78">
            <v>826774</v>
          </cell>
          <cell r="AB78">
            <v>695135</v>
          </cell>
          <cell r="AC78">
            <v>597544</v>
          </cell>
          <cell r="AD78">
            <v>563524</v>
          </cell>
          <cell r="AE78">
            <v>552366</v>
          </cell>
          <cell r="AF78">
            <v>590606</v>
          </cell>
          <cell r="AG78">
            <v>637086</v>
          </cell>
          <cell r="AH78">
            <v>721651</v>
          </cell>
          <cell r="AI78">
            <v>871118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- 2016 -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1308906</v>
          </cell>
          <cell r="E81">
            <v>173938</v>
          </cell>
          <cell r="F81">
            <v>180932</v>
          </cell>
          <cell r="G81">
            <v>152042</v>
          </cell>
          <cell r="H81">
            <v>119342</v>
          </cell>
          <cell r="I81">
            <v>91870</v>
          </cell>
          <cell r="J81">
            <v>78962</v>
          </cell>
          <cell r="K81">
            <v>69734</v>
          </cell>
          <cell r="L81">
            <v>58664</v>
          </cell>
          <cell r="M81">
            <v>68433</v>
          </cell>
          <cell r="N81">
            <v>80905</v>
          </cell>
          <cell r="O81">
            <v>101693</v>
          </cell>
          <cell r="P81">
            <v>132391</v>
          </cell>
          <cell r="T81">
            <v>78</v>
          </cell>
          <cell r="U81" t="str">
            <v>Volumes (in DTs)</v>
          </cell>
          <cell r="W81">
            <v>1247820</v>
          </cell>
          <cell r="X81">
            <v>177433</v>
          </cell>
          <cell r="Y81">
            <v>191097</v>
          </cell>
          <cell r="Z81">
            <v>146435</v>
          </cell>
          <cell r="AA81">
            <v>108264</v>
          </cell>
          <cell r="AB81">
            <v>82149</v>
          </cell>
          <cell r="AC81">
            <v>68015</v>
          </cell>
          <cell r="AD81">
            <v>66207</v>
          </cell>
          <cell r="AE81">
            <v>64253</v>
          </cell>
          <cell r="AF81">
            <v>66717</v>
          </cell>
          <cell r="AG81">
            <v>68887</v>
          </cell>
          <cell r="AH81">
            <v>86280</v>
          </cell>
          <cell r="AI81">
            <v>122083</v>
          </cell>
        </row>
        <row r="82">
          <cell r="A82">
            <v>79</v>
          </cell>
          <cell r="B82" t="str">
            <v>Commercial</v>
          </cell>
          <cell r="D82">
            <v>2133842</v>
          </cell>
          <cell r="E82">
            <v>231812</v>
          </cell>
          <cell r="F82">
            <v>231791</v>
          </cell>
          <cell r="G82">
            <v>228728</v>
          </cell>
          <cell r="H82">
            <v>194092</v>
          </cell>
          <cell r="I82">
            <v>185539</v>
          </cell>
          <cell r="J82">
            <v>152803</v>
          </cell>
          <cell r="K82">
            <v>137056</v>
          </cell>
          <cell r="L82">
            <v>130345</v>
          </cell>
          <cell r="M82">
            <v>141754</v>
          </cell>
          <cell r="N82">
            <v>142604</v>
          </cell>
          <cell r="O82">
            <v>169107</v>
          </cell>
          <cell r="P82">
            <v>188211</v>
          </cell>
          <cell r="T82">
            <v>79</v>
          </cell>
          <cell r="U82" t="str">
            <v>Residential</v>
          </cell>
          <cell r="W82">
            <v>2417819</v>
          </cell>
          <cell r="X82">
            <v>263146</v>
          </cell>
          <cell r="Y82">
            <v>306769</v>
          </cell>
          <cell r="Z82">
            <v>266917</v>
          </cell>
          <cell r="AA82">
            <v>221871</v>
          </cell>
          <cell r="AB82">
            <v>199698</v>
          </cell>
          <cell r="AC82">
            <v>158664</v>
          </cell>
          <cell r="AD82">
            <v>159997</v>
          </cell>
          <cell r="AE82">
            <v>157904</v>
          </cell>
          <cell r="AF82">
            <v>151110</v>
          </cell>
          <cell r="AG82">
            <v>162046</v>
          </cell>
          <cell r="AH82">
            <v>168916</v>
          </cell>
          <cell r="AI82">
            <v>200781</v>
          </cell>
        </row>
        <row r="83">
          <cell r="A83">
            <v>80</v>
          </cell>
          <cell r="B83" t="str">
            <v xml:space="preserve">Industrial </v>
          </cell>
          <cell r="D83">
            <v>4294573</v>
          </cell>
          <cell r="E83">
            <v>364605</v>
          </cell>
          <cell r="F83">
            <v>356664</v>
          </cell>
          <cell r="G83">
            <v>404486</v>
          </cell>
          <cell r="H83">
            <v>358233</v>
          </cell>
          <cell r="I83">
            <v>326609</v>
          </cell>
          <cell r="J83">
            <v>348794</v>
          </cell>
          <cell r="K83">
            <v>352328</v>
          </cell>
          <cell r="L83">
            <v>340628</v>
          </cell>
          <cell r="M83">
            <v>336209</v>
          </cell>
          <cell r="N83">
            <v>349140</v>
          </cell>
          <cell r="O83">
            <v>376651</v>
          </cell>
          <cell r="P83">
            <v>380226</v>
          </cell>
          <cell r="T83">
            <v>80</v>
          </cell>
          <cell r="W83">
            <v>3987899</v>
          </cell>
          <cell r="X83">
            <v>396500</v>
          </cell>
          <cell r="Y83">
            <v>394586</v>
          </cell>
          <cell r="Z83">
            <v>338681</v>
          </cell>
          <cell r="AA83">
            <v>342179</v>
          </cell>
          <cell r="AB83">
            <v>331814</v>
          </cell>
          <cell r="AC83">
            <v>350301</v>
          </cell>
          <cell r="AD83">
            <v>296168</v>
          </cell>
          <cell r="AE83">
            <v>298544</v>
          </cell>
          <cell r="AF83">
            <v>286844</v>
          </cell>
          <cell r="AG83">
            <v>298354</v>
          </cell>
          <cell r="AH83">
            <v>312797</v>
          </cell>
          <cell r="AI83">
            <v>341131</v>
          </cell>
        </row>
        <row r="84">
          <cell r="A84">
            <v>81</v>
          </cell>
          <cell r="B84" t="str">
            <v>Other</v>
          </cell>
          <cell r="D84">
            <v>-4202</v>
          </cell>
          <cell r="E84">
            <v>-12891</v>
          </cell>
          <cell r="F84">
            <v>56914</v>
          </cell>
          <cell r="G84">
            <v>-3641</v>
          </cell>
          <cell r="H84">
            <v>-46845</v>
          </cell>
          <cell r="I84">
            <v>665</v>
          </cell>
          <cell r="J84">
            <v>474</v>
          </cell>
          <cell r="K84">
            <v>255</v>
          </cell>
          <cell r="L84">
            <v>133</v>
          </cell>
          <cell r="M84">
            <v>213</v>
          </cell>
          <cell r="N84">
            <v>197</v>
          </cell>
          <cell r="O84">
            <v>194</v>
          </cell>
          <cell r="P84">
            <v>130</v>
          </cell>
          <cell r="T84">
            <v>81</v>
          </cell>
          <cell r="W84">
            <v>-84763</v>
          </cell>
          <cell r="X84">
            <v>-37589</v>
          </cell>
          <cell r="Y84">
            <v>-5845</v>
          </cell>
          <cell r="Z84">
            <v>-38123</v>
          </cell>
          <cell r="AA84">
            <v>44554</v>
          </cell>
          <cell r="AB84">
            <v>507</v>
          </cell>
          <cell r="AC84">
            <v>-72137</v>
          </cell>
          <cell r="AD84">
            <v>-31454</v>
          </cell>
          <cell r="AE84">
            <v>15156</v>
          </cell>
          <cell r="AF84">
            <v>-26700</v>
          </cell>
          <cell r="AG84">
            <v>42496</v>
          </cell>
          <cell r="AH84">
            <v>23498</v>
          </cell>
          <cell r="AI84">
            <v>874</v>
          </cell>
        </row>
        <row r="85">
          <cell r="A85">
            <v>82</v>
          </cell>
          <cell r="B85" t="str">
            <v>Total Deliveries</v>
          </cell>
          <cell r="D85">
            <v>7733119</v>
          </cell>
          <cell r="E85">
            <v>757464</v>
          </cell>
          <cell r="F85">
            <v>826301</v>
          </cell>
          <cell r="G85">
            <v>781615</v>
          </cell>
          <cell r="H85">
            <v>624822</v>
          </cell>
          <cell r="I85">
            <v>604683</v>
          </cell>
          <cell r="J85">
            <v>581033</v>
          </cell>
          <cell r="K85">
            <v>559373</v>
          </cell>
          <cell r="L85">
            <v>529770</v>
          </cell>
          <cell r="M85">
            <v>546609</v>
          </cell>
          <cell r="N85">
            <v>572846</v>
          </cell>
          <cell r="O85">
            <v>647645</v>
          </cell>
          <cell r="P85">
            <v>700958</v>
          </cell>
          <cell r="T85">
            <v>82</v>
          </cell>
          <cell r="U85">
            <v>0</v>
          </cell>
          <cell r="W85">
            <v>7568775</v>
          </cell>
          <cell r="X85">
            <v>799490</v>
          </cell>
          <cell r="Y85">
            <v>886607</v>
          </cell>
          <cell r="Z85">
            <v>713910</v>
          </cell>
          <cell r="AA85">
            <v>716868</v>
          </cell>
          <cell r="AB85">
            <v>614168</v>
          </cell>
          <cell r="AC85">
            <v>504843</v>
          </cell>
          <cell r="AD85">
            <v>490918</v>
          </cell>
          <cell r="AE85">
            <v>535857</v>
          </cell>
          <cell r="AF85">
            <v>477971</v>
          </cell>
          <cell r="AG85">
            <v>571783</v>
          </cell>
          <cell r="AH85">
            <v>591491</v>
          </cell>
          <cell r="AI85">
            <v>664869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- 2016</v>
          </cell>
          <cell r="T89">
            <v>86</v>
          </cell>
          <cell r="U89" t="str">
            <v>Customers - 2015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52941</v>
          </cell>
          <cell r="F91">
            <v>52964</v>
          </cell>
          <cell r="G91">
            <v>53044</v>
          </cell>
          <cell r="H91">
            <v>53101</v>
          </cell>
          <cell r="I91">
            <v>53128</v>
          </cell>
          <cell r="J91">
            <v>53165</v>
          </cell>
          <cell r="K91">
            <v>53175</v>
          </cell>
          <cell r="L91">
            <v>53193</v>
          </cell>
          <cell r="M91">
            <v>53215</v>
          </cell>
          <cell r="N91">
            <v>53231</v>
          </cell>
          <cell r="O91">
            <v>53260</v>
          </cell>
          <cell r="P91">
            <v>53300</v>
          </cell>
          <cell r="T91">
            <v>88</v>
          </cell>
          <cell r="U91" t="str">
            <v>Residential</v>
          </cell>
          <cell r="X91">
            <v>51478</v>
          </cell>
          <cell r="Y91">
            <v>51547</v>
          </cell>
          <cell r="Z91">
            <v>51649</v>
          </cell>
          <cell r="AA91">
            <v>51741</v>
          </cell>
          <cell r="AB91">
            <v>51774</v>
          </cell>
          <cell r="AC91">
            <v>51811</v>
          </cell>
          <cell r="AD91">
            <v>51842</v>
          </cell>
          <cell r="AE91">
            <v>51879</v>
          </cell>
          <cell r="AF91">
            <v>51907</v>
          </cell>
          <cell r="AG91">
            <v>51940</v>
          </cell>
          <cell r="AH91">
            <v>51991</v>
          </cell>
          <cell r="AI91">
            <v>52046</v>
          </cell>
        </row>
        <row r="92">
          <cell r="A92">
            <v>89</v>
          </cell>
          <cell r="B92" t="str">
            <v>Commercial</v>
          </cell>
          <cell r="E92">
            <v>4253</v>
          </cell>
          <cell r="F92">
            <v>4259</v>
          </cell>
          <cell r="G92">
            <v>4261</v>
          </cell>
          <cell r="H92">
            <v>4265</v>
          </cell>
          <cell r="I92">
            <v>4266</v>
          </cell>
          <cell r="J92">
            <v>4263</v>
          </cell>
          <cell r="K92">
            <v>4259</v>
          </cell>
          <cell r="L92">
            <v>4254</v>
          </cell>
          <cell r="M92">
            <v>4247</v>
          </cell>
          <cell r="N92">
            <v>4242</v>
          </cell>
          <cell r="O92">
            <v>4238</v>
          </cell>
          <cell r="P92">
            <v>4236</v>
          </cell>
          <cell r="T92">
            <v>89</v>
          </cell>
          <cell r="U92" t="str">
            <v>Commercial</v>
          </cell>
          <cell r="X92">
            <v>4270</v>
          </cell>
          <cell r="Y92">
            <v>4279</v>
          </cell>
          <cell r="Z92">
            <v>4288</v>
          </cell>
          <cell r="AA92">
            <v>4286</v>
          </cell>
          <cell r="AB92">
            <v>4282</v>
          </cell>
          <cell r="AC92">
            <v>4276</v>
          </cell>
          <cell r="AD92">
            <v>4270</v>
          </cell>
          <cell r="AE92">
            <v>4264</v>
          </cell>
          <cell r="AF92">
            <v>4258</v>
          </cell>
          <cell r="AG92">
            <v>4252</v>
          </cell>
          <cell r="AH92">
            <v>4250</v>
          </cell>
          <cell r="AI92">
            <v>4249</v>
          </cell>
        </row>
        <row r="93">
          <cell r="A93">
            <v>90</v>
          </cell>
          <cell r="B93" t="str">
            <v xml:space="preserve">Industrial </v>
          </cell>
          <cell r="E93">
            <v>1706</v>
          </cell>
          <cell r="F93">
            <v>1712</v>
          </cell>
          <cell r="G93">
            <v>1716</v>
          </cell>
          <cell r="H93">
            <v>1720</v>
          </cell>
          <cell r="I93">
            <v>1725</v>
          </cell>
          <cell r="J93">
            <v>1732</v>
          </cell>
          <cell r="K93">
            <v>1740</v>
          </cell>
          <cell r="L93">
            <v>1750</v>
          </cell>
          <cell r="M93">
            <v>1760</v>
          </cell>
          <cell r="N93">
            <v>1769</v>
          </cell>
          <cell r="O93">
            <v>1777</v>
          </cell>
          <cell r="P93">
            <v>1786</v>
          </cell>
          <cell r="T93">
            <v>90</v>
          </cell>
          <cell r="U93" t="str">
            <v xml:space="preserve">Industrial </v>
          </cell>
          <cell r="X93">
            <v>1527</v>
          </cell>
          <cell r="Y93">
            <v>1537</v>
          </cell>
          <cell r="Z93">
            <v>1546</v>
          </cell>
          <cell r="AA93">
            <v>1556</v>
          </cell>
          <cell r="AB93">
            <v>1566</v>
          </cell>
          <cell r="AC93">
            <v>1577</v>
          </cell>
          <cell r="AD93">
            <v>1586</v>
          </cell>
          <cell r="AE93">
            <v>1595</v>
          </cell>
          <cell r="AF93">
            <v>1606</v>
          </cell>
          <cell r="AG93">
            <v>1616</v>
          </cell>
          <cell r="AH93">
            <v>1625</v>
          </cell>
          <cell r="AI93">
            <v>1633</v>
          </cell>
        </row>
        <row r="94">
          <cell r="A94">
            <v>91</v>
          </cell>
          <cell r="B94" t="str">
            <v>Other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91</v>
          </cell>
          <cell r="U94" t="str">
            <v>Other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58900</v>
          </cell>
          <cell r="F95">
            <v>58935</v>
          </cell>
          <cell r="G95">
            <v>59021</v>
          </cell>
          <cell r="H95">
            <v>59086</v>
          </cell>
          <cell r="I95">
            <v>59119</v>
          </cell>
          <cell r="J95">
            <v>59160</v>
          </cell>
          <cell r="K95">
            <v>59174</v>
          </cell>
          <cell r="L95">
            <v>59197</v>
          </cell>
          <cell r="M95">
            <v>59222</v>
          </cell>
          <cell r="N95">
            <v>59242</v>
          </cell>
          <cell r="O95">
            <v>59275</v>
          </cell>
          <cell r="P95">
            <v>59322</v>
          </cell>
          <cell r="T95">
            <v>92</v>
          </cell>
          <cell r="U95" t="str">
            <v>Total customers</v>
          </cell>
          <cell r="X95">
            <v>57275</v>
          </cell>
          <cell r="Y95">
            <v>57363</v>
          </cell>
          <cell r="Z95">
            <v>57483</v>
          </cell>
          <cell r="AA95">
            <v>57583</v>
          </cell>
          <cell r="AB95">
            <v>57622</v>
          </cell>
          <cell r="AC95">
            <v>57664</v>
          </cell>
          <cell r="AD95">
            <v>57698</v>
          </cell>
          <cell r="AE95">
            <v>57738</v>
          </cell>
          <cell r="AF95">
            <v>57771</v>
          </cell>
          <cell r="AG95">
            <v>57808</v>
          </cell>
          <cell r="AH95">
            <v>57866</v>
          </cell>
          <cell r="AI95">
            <v>57928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T97">
            <v>94</v>
          </cell>
        </row>
        <row r="98">
          <cell r="A98">
            <v>95</v>
          </cell>
          <cell r="B98" t="str">
            <v>Volume - 2016 -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- 2015 -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169382</v>
          </cell>
          <cell r="F99">
            <v>345574</v>
          </cell>
          <cell r="G99">
            <v>493633</v>
          </cell>
          <cell r="H99">
            <v>609849</v>
          </cell>
          <cell r="I99">
            <v>699312</v>
          </cell>
          <cell r="J99">
            <v>776205.98188723344</v>
          </cell>
          <cell r="K99">
            <v>844113.17810887133</v>
          </cell>
          <cell r="L99">
            <v>901240.17810887133</v>
          </cell>
          <cell r="M99">
            <v>967880.49946440745</v>
          </cell>
          <cell r="N99">
            <v>1046666.3598208199</v>
          </cell>
          <cell r="O99">
            <v>1145695.4765799979</v>
          </cell>
          <cell r="P99">
            <v>1274618.4486318044</v>
          </cell>
          <cell r="T99">
            <v>96</v>
          </cell>
          <cell r="U99" t="str">
            <v>Residential</v>
          </cell>
          <cell r="X99">
            <v>172785.19330022397</v>
          </cell>
          <cell r="Y99">
            <v>358876.34725873987</v>
          </cell>
          <cell r="Z99">
            <v>501475.45622748416</v>
          </cell>
          <cell r="AA99">
            <v>606903.30411919707</v>
          </cell>
          <cell r="AB99">
            <v>686900.56383289851</v>
          </cell>
          <cell r="AC99">
            <v>753133.59528678888</v>
          </cell>
          <cell r="AD99">
            <v>817606.59528678888</v>
          </cell>
          <cell r="AE99">
            <v>880176.59528678888</v>
          </cell>
          <cell r="AF99">
            <v>945145.59528678888</v>
          </cell>
          <cell r="AG99">
            <v>1012228.0765410493</v>
          </cell>
          <cell r="AH99">
            <v>1096248.0395364724</v>
          </cell>
          <cell r="AI99">
            <v>1215133.0395364724</v>
          </cell>
        </row>
        <row r="100">
          <cell r="A100">
            <v>97</v>
          </cell>
          <cell r="B100" t="str">
            <v>Commercial</v>
          </cell>
          <cell r="E100">
            <v>225740</v>
          </cell>
          <cell r="F100">
            <v>451459</v>
          </cell>
          <cell r="G100">
            <v>674195</v>
          </cell>
          <cell r="H100">
            <v>863203</v>
          </cell>
          <cell r="I100">
            <v>1043882</v>
          </cell>
          <cell r="J100">
            <v>1192682.1791800566</v>
          </cell>
          <cell r="K100">
            <v>1326148.3760833577</v>
          </cell>
          <cell r="L100">
            <v>1453079.3760833577</v>
          </cell>
          <cell r="M100">
            <v>1591119.7797253872</v>
          </cell>
          <cell r="N100">
            <v>1729988.3160969911</v>
          </cell>
          <cell r="O100">
            <v>1894665.4998539295</v>
          </cell>
          <cell r="P100">
            <v>2077946.2477359043</v>
          </cell>
          <cell r="T100">
            <v>97</v>
          </cell>
          <cell r="U100" t="str">
            <v>Commercial</v>
          </cell>
          <cell r="X100">
            <v>256252.56500146046</v>
          </cell>
          <cell r="Y100">
            <v>554985.19914305164</v>
          </cell>
          <cell r="Z100">
            <v>814909.74583698472</v>
          </cell>
          <cell r="AA100">
            <v>1030968.3396630632</v>
          </cell>
          <cell r="AB100">
            <v>1225435.2166715353</v>
          </cell>
          <cell r="AC100">
            <v>1379942.568896679</v>
          </cell>
          <cell r="AD100">
            <v>1535748.568896679</v>
          </cell>
          <cell r="AE100">
            <v>1689516.568896679</v>
          </cell>
          <cell r="AF100">
            <v>1836668.568896679</v>
          </cell>
          <cell r="AG100">
            <v>1994469.9117732979</v>
          </cell>
          <cell r="AH100">
            <v>2158961.4883630341</v>
          </cell>
          <cell r="AI100">
            <v>2354482.4883630341</v>
          </cell>
        </row>
        <row r="101">
          <cell r="A101">
            <v>98</v>
          </cell>
          <cell r="B101" t="str">
            <v xml:space="preserve">Industrial </v>
          </cell>
          <cell r="E101">
            <v>355054</v>
          </cell>
          <cell r="F101">
            <v>702375</v>
          </cell>
          <cell r="G101">
            <v>1096265</v>
          </cell>
          <cell r="H101">
            <v>1445114</v>
          </cell>
          <cell r="I101">
            <v>1763167</v>
          </cell>
          <cell r="J101">
            <v>2102824.2986658877</v>
          </cell>
          <cell r="K101">
            <v>2445923.0154834939</v>
          </cell>
          <cell r="L101">
            <v>2777628.0154834939</v>
          </cell>
          <cell r="M101">
            <v>3105029.648359139</v>
          </cell>
          <cell r="N101">
            <v>3445023.4926709104</v>
          </cell>
          <cell r="O101">
            <v>3811807.7949398751</v>
          </cell>
          <cell r="P101">
            <v>4182073.6436106316</v>
          </cell>
          <cell r="T101">
            <v>98</v>
          </cell>
          <cell r="U101" t="str">
            <v xml:space="preserve">Industrial </v>
          </cell>
          <cell r="X101">
            <v>386113.98383484263</v>
          </cell>
          <cell r="Y101">
            <v>770364.03836790333</v>
          </cell>
          <cell r="Z101">
            <v>1100173.0256110625</v>
          </cell>
          <cell r="AA101">
            <v>1433388.3523225242</v>
          </cell>
          <cell r="AB101">
            <v>1756510.4674262344</v>
          </cell>
          <cell r="AC101">
            <v>2097635.3091829782</v>
          </cell>
          <cell r="AD101">
            <v>2386045.3091829782</v>
          </cell>
          <cell r="AE101">
            <v>2676769.3091829782</v>
          </cell>
          <cell r="AF101">
            <v>2956099.3091829782</v>
          </cell>
          <cell r="AG101">
            <v>3246637.3430713797</v>
          </cell>
          <cell r="AH101">
            <v>3551240.7124354853</v>
          </cell>
          <cell r="AI101">
            <v>3883435.7124354853</v>
          </cell>
        </row>
        <row r="102">
          <cell r="A102">
            <v>99</v>
          </cell>
          <cell r="B102" t="str">
            <v>Other</v>
          </cell>
          <cell r="E102">
            <v>-12552.932515337425</v>
          </cell>
          <cell r="F102">
            <v>42870.647482714972</v>
          </cell>
          <cell r="G102">
            <v>39324.722368292925</v>
          </cell>
          <cell r="H102">
            <v>-6293.1388645437692</v>
          </cell>
          <cell r="I102">
            <v>-5645.1388645437692</v>
          </cell>
          <cell r="J102">
            <v>-5183.5914889473133</v>
          </cell>
          <cell r="K102">
            <v>-4935.5914889473133</v>
          </cell>
          <cell r="L102">
            <v>-4805.5914889473133</v>
          </cell>
          <cell r="M102">
            <v>-4598.4632388742775</v>
          </cell>
          <cell r="N102">
            <v>-4406.4289609504294</v>
          </cell>
          <cell r="O102">
            <v>-4217.4134774564181</v>
          </cell>
          <cell r="P102">
            <v>-4091.20839419612</v>
          </cell>
          <cell r="T102">
            <v>99</v>
          </cell>
          <cell r="U102" t="str">
            <v>Other</v>
          </cell>
          <cell r="X102">
            <v>-36603.919466355052</v>
          </cell>
          <cell r="Y102">
            <v>-42295.948875255628</v>
          </cell>
          <cell r="Z102">
            <v>-79420.735806797165</v>
          </cell>
          <cell r="AA102">
            <v>-36033.743694614866</v>
          </cell>
          <cell r="AB102">
            <v>-35539.987145778563</v>
          </cell>
          <cell r="AC102">
            <v>-105787.67202259228</v>
          </cell>
          <cell r="AD102">
            <v>-136417.78644463921</v>
          </cell>
          <cell r="AE102">
            <v>-121659.23721881391</v>
          </cell>
          <cell r="AF102">
            <v>-147659.6485539001</v>
          </cell>
          <cell r="AG102">
            <v>-106276.4564222417</v>
          </cell>
          <cell r="AH102">
            <v>-83394.286785470831</v>
          </cell>
          <cell r="AI102">
            <v>-82543.286785470831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737623.06748466252</v>
          </cell>
          <cell r="F103">
            <v>1542278.6474827151</v>
          </cell>
          <cell r="G103">
            <v>2303417.722368293</v>
          </cell>
          <cell r="H103">
            <v>2911872.8611354562</v>
          </cell>
          <cell r="I103">
            <v>3500715.8611354562</v>
          </cell>
          <cell r="J103">
            <v>4066528.8682442307</v>
          </cell>
          <cell r="K103">
            <v>4611248.9781867759</v>
          </cell>
          <cell r="L103">
            <v>5127141.9781867759</v>
          </cell>
          <cell r="M103">
            <v>5659431.4643100593</v>
          </cell>
          <cell r="N103">
            <v>6217271.7396277711</v>
          </cell>
          <cell r="O103">
            <v>6847951.3578963466</v>
          </cell>
          <cell r="P103">
            <v>7530547.1315841451</v>
          </cell>
          <cell r="T103">
            <v>100</v>
          </cell>
          <cell r="U103" t="str">
            <v>Total Deliveries</v>
          </cell>
          <cell r="X103">
            <v>778547.82267017209</v>
          </cell>
          <cell r="Y103">
            <v>1641929.6358944392</v>
          </cell>
          <cell r="Z103">
            <v>2337137.4918687344</v>
          </cell>
          <cell r="AA103">
            <v>3035226.2524101692</v>
          </cell>
          <cell r="AB103">
            <v>3633306.2607848896</v>
          </cell>
          <cell r="AC103">
            <v>4124923.8013438536</v>
          </cell>
          <cell r="AD103">
            <v>4602982.686921807</v>
          </cell>
          <cell r="AE103">
            <v>5124803.2361476319</v>
          </cell>
          <cell r="AF103">
            <v>5590253.8248125454</v>
          </cell>
          <cell r="AG103">
            <v>6147058.8749634856</v>
          </cell>
          <cell r="AH103">
            <v>6723055.9535495201</v>
          </cell>
          <cell r="AI103">
            <v>7370507.9535495201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- 2016 -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- 2015 -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173938</v>
          </cell>
          <cell r="F107">
            <v>354870</v>
          </cell>
          <cell r="G107">
            <v>506912</v>
          </cell>
          <cell r="H107">
            <v>626254</v>
          </cell>
          <cell r="I107">
            <v>718124</v>
          </cell>
          <cell r="J107">
            <v>797086</v>
          </cell>
          <cell r="K107">
            <v>866820</v>
          </cell>
          <cell r="L107">
            <v>925484</v>
          </cell>
          <cell r="M107">
            <v>993917</v>
          </cell>
          <cell r="N107">
            <v>1074822</v>
          </cell>
          <cell r="O107">
            <v>1176515</v>
          </cell>
          <cell r="P107">
            <v>1308906</v>
          </cell>
          <cell r="T107">
            <v>104</v>
          </cell>
          <cell r="U107" t="str">
            <v>Residential</v>
          </cell>
          <cell r="X107">
            <v>177433</v>
          </cell>
          <cell r="Y107">
            <v>368530</v>
          </cell>
          <cell r="Z107">
            <v>514965</v>
          </cell>
          <cell r="AA107">
            <v>623229</v>
          </cell>
          <cell r="AB107">
            <v>705378</v>
          </cell>
          <cell r="AC107">
            <v>773393</v>
          </cell>
          <cell r="AD107">
            <v>839600</v>
          </cell>
          <cell r="AE107">
            <v>903853</v>
          </cell>
          <cell r="AF107">
            <v>970570</v>
          </cell>
          <cell r="AG107">
            <v>1039457</v>
          </cell>
          <cell r="AH107">
            <v>1125737</v>
          </cell>
          <cell r="AI107">
            <v>1247820</v>
          </cell>
        </row>
        <row r="108">
          <cell r="A108">
            <v>105</v>
          </cell>
          <cell r="B108" t="str">
            <v>Commercial</v>
          </cell>
          <cell r="E108">
            <v>231812</v>
          </cell>
          <cell r="F108">
            <v>463603</v>
          </cell>
          <cell r="G108">
            <v>692331</v>
          </cell>
          <cell r="H108">
            <v>886423</v>
          </cell>
          <cell r="I108">
            <v>1071962</v>
          </cell>
          <cell r="J108">
            <v>1224765</v>
          </cell>
          <cell r="K108">
            <v>1361821</v>
          </cell>
          <cell r="L108">
            <v>1492166</v>
          </cell>
          <cell r="M108">
            <v>1633920</v>
          </cell>
          <cell r="N108">
            <v>1776524</v>
          </cell>
          <cell r="O108">
            <v>1945631</v>
          </cell>
          <cell r="P108">
            <v>2133842</v>
          </cell>
          <cell r="T108">
            <v>105</v>
          </cell>
          <cell r="U108" t="str">
            <v>Commercial</v>
          </cell>
          <cell r="X108">
            <v>263146</v>
          </cell>
          <cell r="Y108">
            <v>569915</v>
          </cell>
          <cell r="Z108">
            <v>836832</v>
          </cell>
          <cell r="AA108">
            <v>1058703</v>
          </cell>
          <cell r="AB108">
            <v>1258401</v>
          </cell>
          <cell r="AC108">
            <v>1417065</v>
          </cell>
          <cell r="AD108">
            <v>1577062</v>
          </cell>
          <cell r="AE108">
            <v>1734966</v>
          </cell>
          <cell r="AF108">
            <v>1886076</v>
          </cell>
          <cell r="AG108">
            <v>2048122</v>
          </cell>
          <cell r="AH108">
            <v>2217038</v>
          </cell>
          <cell r="AI108">
            <v>2417819</v>
          </cell>
        </row>
        <row r="109">
          <cell r="A109">
            <v>106</v>
          </cell>
          <cell r="B109" t="str">
            <v xml:space="preserve">Industrial </v>
          </cell>
          <cell r="E109">
            <v>364605</v>
          </cell>
          <cell r="F109">
            <v>721269</v>
          </cell>
          <cell r="G109">
            <v>1125755</v>
          </cell>
          <cell r="H109">
            <v>1483988</v>
          </cell>
          <cell r="I109">
            <v>1810597</v>
          </cell>
          <cell r="J109">
            <v>2159391</v>
          </cell>
          <cell r="K109">
            <v>2511719</v>
          </cell>
          <cell r="L109">
            <v>2852347</v>
          </cell>
          <cell r="M109">
            <v>3188556</v>
          </cell>
          <cell r="N109">
            <v>3537696</v>
          </cell>
          <cell r="O109">
            <v>3914347</v>
          </cell>
          <cell r="P109">
            <v>4294573</v>
          </cell>
          <cell r="T109">
            <v>106</v>
          </cell>
          <cell r="U109" t="str">
            <v xml:space="preserve">Industrial </v>
          </cell>
          <cell r="X109">
            <v>396500</v>
          </cell>
          <cell r="Y109">
            <v>791086</v>
          </cell>
          <cell r="Z109">
            <v>1129767</v>
          </cell>
          <cell r="AA109">
            <v>1471946</v>
          </cell>
          <cell r="AB109">
            <v>1803760</v>
          </cell>
          <cell r="AC109">
            <v>2154061</v>
          </cell>
          <cell r="AD109">
            <v>2450229</v>
          </cell>
          <cell r="AE109">
            <v>2748773</v>
          </cell>
          <cell r="AF109">
            <v>3035617</v>
          </cell>
          <cell r="AG109">
            <v>3333971</v>
          </cell>
          <cell r="AH109">
            <v>3646768</v>
          </cell>
          <cell r="AI109">
            <v>3987899</v>
          </cell>
        </row>
        <row r="110">
          <cell r="A110">
            <v>107</v>
          </cell>
          <cell r="B110" t="str">
            <v>Other</v>
          </cell>
          <cell r="E110">
            <v>-12891</v>
          </cell>
          <cell r="F110">
            <v>44023</v>
          </cell>
          <cell r="G110">
            <v>40382</v>
          </cell>
          <cell r="H110">
            <v>-6463</v>
          </cell>
          <cell r="I110">
            <v>-5798</v>
          </cell>
          <cell r="J110">
            <v>-5324</v>
          </cell>
          <cell r="K110">
            <v>-5069</v>
          </cell>
          <cell r="L110">
            <v>-4936</v>
          </cell>
          <cell r="M110">
            <v>-4723</v>
          </cell>
          <cell r="N110">
            <v>-4526</v>
          </cell>
          <cell r="O110">
            <v>-4332</v>
          </cell>
          <cell r="P110">
            <v>-4202</v>
          </cell>
          <cell r="T110">
            <v>107</v>
          </cell>
          <cell r="U110" t="str">
            <v>Other</v>
          </cell>
          <cell r="X110">
            <v>-37589</v>
          </cell>
          <cell r="Y110">
            <v>-43434</v>
          </cell>
          <cell r="Z110">
            <v>-81557</v>
          </cell>
          <cell r="AA110">
            <v>-37003</v>
          </cell>
          <cell r="AB110">
            <v>-36496</v>
          </cell>
          <cell r="AC110">
            <v>-108633</v>
          </cell>
          <cell r="AD110">
            <v>-140087</v>
          </cell>
          <cell r="AE110">
            <v>-124931</v>
          </cell>
          <cell r="AF110">
            <v>-151631</v>
          </cell>
          <cell r="AG110">
            <v>-109135</v>
          </cell>
          <cell r="AH110">
            <v>-85637</v>
          </cell>
          <cell r="AI110">
            <v>-84763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757464</v>
          </cell>
          <cell r="F111">
            <v>1583765</v>
          </cell>
          <cell r="G111">
            <v>2365380</v>
          </cell>
          <cell r="H111">
            <v>2990202</v>
          </cell>
          <cell r="I111">
            <v>3594885</v>
          </cell>
          <cell r="J111">
            <v>4175918</v>
          </cell>
          <cell r="K111">
            <v>4735291</v>
          </cell>
          <cell r="L111">
            <v>5265061</v>
          </cell>
          <cell r="M111">
            <v>5811670</v>
          </cell>
          <cell r="N111">
            <v>6384516</v>
          </cell>
          <cell r="O111">
            <v>7032161</v>
          </cell>
          <cell r="P111">
            <v>7733119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799490</v>
          </cell>
          <cell r="Y111">
            <v>1686097</v>
          </cell>
          <cell r="Z111">
            <v>2400007</v>
          </cell>
          <cell r="AA111">
            <v>3116875</v>
          </cell>
          <cell r="AB111">
            <v>3731043</v>
          </cell>
          <cell r="AC111">
            <v>4235886</v>
          </cell>
          <cell r="AD111">
            <v>4726804</v>
          </cell>
          <cell r="AE111">
            <v>5262661</v>
          </cell>
          <cell r="AF111">
            <v>5740632</v>
          </cell>
          <cell r="AG111">
            <v>6312415</v>
          </cell>
          <cell r="AH111">
            <v>6903906</v>
          </cell>
          <cell r="AI111">
            <v>7568775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</row>
        <row r="114">
          <cell r="A114">
            <v>111</v>
          </cell>
          <cell r="B114" t="str">
            <v xml:space="preserve">Customers </v>
          </cell>
          <cell r="E114">
            <v>59166</v>
          </cell>
          <cell r="F114">
            <v>59250</v>
          </cell>
          <cell r="G114">
            <v>59380</v>
          </cell>
          <cell r="H114">
            <v>59497</v>
          </cell>
          <cell r="I114">
            <v>59530</v>
          </cell>
          <cell r="J114">
            <v>59572</v>
          </cell>
          <cell r="K114">
            <v>59597</v>
          </cell>
          <cell r="L114">
            <v>59604</v>
          </cell>
          <cell r="M114">
            <v>59618</v>
          </cell>
          <cell r="N114">
            <v>59638</v>
          </cell>
          <cell r="O114">
            <v>59674</v>
          </cell>
          <cell r="P114">
            <v>59731</v>
          </cell>
          <cell r="T114">
            <v>111</v>
          </cell>
        </row>
        <row r="115">
          <cell r="A115">
            <v>112</v>
          </cell>
          <cell r="B115" t="str">
            <v>Volume (mcfs)</v>
          </cell>
          <cell r="E115">
            <v>910995</v>
          </cell>
          <cell r="F115">
            <v>1741689</v>
          </cell>
          <cell r="G115">
            <v>2498021</v>
          </cell>
          <cell r="H115">
            <v>3247808</v>
          </cell>
          <cell r="I115">
            <v>3897362</v>
          </cell>
          <cell r="J115">
            <v>4456408</v>
          </cell>
          <cell r="K115">
            <v>5023505</v>
          </cell>
          <cell r="L115">
            <v>5559090</v>
          </cell>
          <cell r="M115">
            <v>6104287.7800000003</v>
          </cell>
          <cell r="N115">
            <v>6693154.3399999999</v>
          </cell>
          <cell r="O115">
            <v>7376034.5700000003</v>
          </cell>
          <cell r="P115">
            <v>8163554.6300000008</v>
          </cell>
          <cell r="T115">
            <v>112</v>
          </cell>
        </row>
        <row r="116">
          <cell r="A116">
            <v>113</v>
          </cell>
          <cell r="B116" t="str">
            <v>Volume (dts)</v>
          </cell>
          <cell r="E116">
            <v>935501</v>
          </cell>
          <cell r="F116">
            <v>1788541</v>
          </cell>
          <cell r="G116">
            <v>2565218</v>
          </cell>
          <cell r="H116">
            <v>3335174</v>
          </cell>
          <cell r="I116">
            <v>4002201</v>
          </cell>
          <cell r="J116">
            <v>4576285</v>
          </cell>
          <cell r="K116">
            <v>5158637</v>
          </cell>
          <cell r="L116">
            <v>5708629</v>
          </cell>
          <cell r="M116">
            <v>6268493</v>
          </cell>
          <cell r="N116">
            <v>6873200</v>
          </cell>
          <cell r="O116">
            <v>7574450</v>
          </cell>
          <cell r="P116">
            <v>8383154</v>
          </cell>
          <cell r="T116">
            <v>113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24140</v>
          </cell>
          <cell r="F5">
            <v>24172</v>
          </cell>
          <cell r="G5">
            <v>24190</v>
          </cell>
          <cell r="H5">
            <v>24203</v>
          </cell>
          <cell r="I5">
            <v>24287</v>
          </cell>
          <cell r="J5">
            <v>24314</v>
          </cell>
          <cell r="K5">
            <v>24378</v>
          </cell>
          <cell r="L5">
            <v>24356</v>
          </cell>
          <cell r="M5">
            <v>24368</v>
          </cell>
          <cell r="N5">
            <v>24338</v>
          </cell>
          <cell r="O5">
            <v>24371</v>
          </cell>
          <cell r="P5">
            <v>24345</v>
          </cell>
          <cell r="T5">
            <v>2</v>
          </cell>
          <cell r="U5" t="str">
            <v>Residential</v>
          </cell>
          <cell r="X5">
            <v>23878</v>
          </cell>
          <cell r="Y5">
            <v>23931</v>
          </cell>
          <cell r="Z5">
            <v>23944</v>
          </cell>
          <cell r="AA5">
            <v>24043</v>
          </cell>
          <cell r="AB5">
            <v>24043</v>
          </cell>
          <cell r="AC5">
            <v>24048</v>
          </cell>
          <cell r="AD5">
            <v>24092</v>
          </cell>
          <cell r="AE5">
            <v>24133</v>
          </cell>
          <cell r="AF5">
            <v>24085</v>
          </cell>
          <cell r="AG5">
            <v>24023</v>
          </cell>
          <cell r="AH5">
            <v>24143</v>
          </cell>
          <cell r="AI5">
            <v>24109</v>
          </cell>
        </row>
        <row r="6">
          <cell r="E6">
            <v>7387</v>
          </cell>
          <cell r="F6">
            <v>7386</v>
          </cell>
          <cell r="G6">
            <v>7384</v>
          </cell>
          <cell r="H6">
            <v>7388</v>
          </cell>
          <cell r="I6">
            <v>7426</v>
          </cell>
          <cell r="J6">
            <v>7416</v>
          </cell>
          <cell r="K6">
            <v>7393</v>
          </cell>
          <cell r="L6">
            <v>7404</v>
          </cell>
          <cell r="M6">
            <v>7408</v>
          </cell>
          <cell r="N6">
            <v>7415</v>
          </cell>
          <cell r="O6">
            <v>7417</v>
          </cell>
          <cell r="P6">
            <v>7428</v>
          </cell>
          <cell r="T6">
            <v>3</v>
          </cell>
          <cell r="U6" t="str">
            <v>Commercial</v>
          </cell>
          <cell r="X6">
            <v>7374</v>
          </cell>
          <cell r="Y6">
            <v>7372</v>
          </cell>
          <cell r="Z6">
            <v>7362</v>
          </cell>
          <cell r="AA6">
            <v>7393</v>
          </cell>
          <cell r="AB6">
            <v>7385</v>
          </cell>
          <cell r="AC6">
            <v>7392</v>
          </cell>
          <cell r="AD6">
            <v>7403</v>
          </cell>
          <cell r="AE6">
            <v>7418</v>
          </cell>
          <cell r="AF6">
            <v>7415</v>
          </cell>
          <cell r="AG6">
            <v>7380</v>
          </cell>
          <cell r="AH6">
            <v>7392</v>
          </cell>
          <cell r="AI6">
            <v>7383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31529</v>
          </cell>
          <cell r="F9">
            <v>31560</v>
          </cell>
          <cell r="G9">
            <v>31576</v>
          </cell>
          <cell r="H9">
            <v>31593</v>
          </cell>
          <cell r="I9">
            <v>31715</v>
          </cell>
          <cell r="J9">
            <v>31732</v>
          </cell>
          <cell r="K9">
            <v>31773</v>
          </cell>
          <cell r="L9">
            <v>31762</v>
          </cell>
          <cell r="M9">
            <v>31778</v>
          </cell>
          <cell r="N9">
            <v>31755</v>
          </cell>
          <cell r="O9">
            <v>31790</v>
          </cell>
          <cell r="P9">
            <v>31775</v>
          </cell>
          <cell r="T9">
            <v>6</v>
          </cell>
          <cell r="U9" t="str">
            <v>Total customers</v>
          </cell>
          <cell r="X9">
            <v>31254</v>
          </cell>
          <cell r="Y9">
            <v>31305</v>
          </cell>
          <cell r="Z9">
            <v>31308</v>
          </cell>
          <cell r="AA9">
            <v>31438</v>
          </cell>
          <cell r="AB9">
            <v>31430</v>
          </cell>
          <cell r="AC9">
            <v>31442</v>
          </cell>
          <cell r="AD9">
            <v>31497</v>
          </cell>
          <cell r="AE9">
            <v>31553</v>
          </cell>
          <cell r="AF9">
            <v>31502</v>
          </cell>
          <cell r="AG9">
            <v>31405</v>
          </cell>
          <cell r="AH9">
            <v>31537</v>
          </cell>
          <cell r="AI9">
            <v>31494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26324.956999999999</v>
          </cell>
          <cell r="F12">
            <v>26440.554</v>
          </cell>
          <cell r="G12">
            <v>21157.383999999998</v>
          </cell>
          <cell r="H12">
            <v>18283.126</v>
          </cell>
          <cell r="I12">
            <v>20008.702000000001</v>
          </cell>
          <cell r="J12">
            <v>29579.780999999999</v>
          </cell>
          <cell r="K12">
            <v>33969.85</v>
          </cell>
          <cell r="L12">
            <v>33300.748</v>
          </cell>
          <cell r="M12">
            <v>32625.659</v>
          </cell>
          <cell r="N12">
            <v>24354.197</v>
          </cell>
          <cell r="O12">
            <v>17902.687999999998</v>
          </cell>
          <cell r="P12">
            <v>19705.948</v>
          </cell>
          <cell r="T12">
            <v>9</v>
          </cell>
          <cell r="U12" t="str">
            <v>Residential</v>
          </cell>
          <cell r="X12">
            <v>27407.153999999999</v>
          </cell>
          <cell r="Y12">
            <v>28408</v>
          </cell>
          <cell r="Z12">
            <v>25037</v>
          </cell>
          <cell r="AA12">
            <v>19382</v>
          </cell>
          <cell r="AB12">
            <v>20243</v>
          </cell>
          <cell r="AC12">
            <v>27010.544000000002</v>
          </cell>
          <cell r="AD12">
            <v>34072.023999999998</v>
          </cell>
          <cell r="AE12">
            <v>33401.144999999997</v>
          </cell>
          <cell r="AF12">
            <v>29383.559000000001</v>
          </cell>
          <cell r="AG12">
            <v>20672.712</v>
          </cell>
          <cell r="AH12">
            <v>19001</v>
          </cell>
          <cell r="AI12">
            <v>19624</v>
          </cell>
        </row>
        <row r="13">
          <cell r="E13">
            <v>24341.325000000001</v>
          </cell>
          <cell r="F13">
            <v>21858.546999999999</v>
          </cell>
          <cell r="G13">
            <v>21915.324000000001</v>
          </cell>
          <cell r="H13">
            <v>22803.163</v>
          </cell>
          <cell r="I13">
            <v>23534.401000000002</v>
          </cell>
          <cell r="J13">
            <v>28733.311000000002</v>
          </cell>
          <cell r="K13">
            <v>28797.101999999999</v>
          </cell>
          <cell r="L13">
            <v>30263.07</v>
          </cell>
          <cell r="M13">
            <v>30953.199000000001</v>
          </cell>
          <cell r="N13">
            <v>26594.61</v>
          </cell>
          <cell r="O13">
            <v>22404.634999999998</v>
          </cell>
          <cell r="P13">
            <v>22258.975999999999</v>
          </cell>
          <cell r="T13">
            <v>10</v>
          </cell>
          <cell r="U13" t="str">
            <v>Commercial</v>
          </cell>
          <cell r="X13">
            <v>24384</v>
          </cell>
          <cell r="Y13">
            <v>23339</v>
          </cell>
          <cell r="Z13">
            <v>23001</v>
          </cell>
          <cell r="AA13">
            <v>21861</v>
          </cell>
          <cell r="AB13">
            <v>24699</v>
          </cell>
          <cell r="AC13">
            <v>27289.392</v>
          </cell>
          <cell r="AD13">
            <v>32047.789000000001</v>
          </cell>
          <cell r="AE13">
            <v>32437.244999999999</v>
          </cell>
          <cell r="AF13">
            <v>30574.400000000001</v>
          </cell>
          <cell r="AG13">
            <v>25916.855</v>
          </cell>
          <cell r="AH13">
            <v>24549</v>
          </cell>
          <cell r="AI13">
            <v>23658</v>
          </cell>
        </row>
        <row r="14">
          <cell r="E14">
            <v>2570</v>
          </cell>
          <cell r="F14">
            <v>2720</v>
          </cell>
          <cell r="G14">
            <v>1390</v>
          </cell>
          <cell r="H14">
            <v>1440</v>
          </cell>
          <cell r="I14">
            <v>1210</v>
          </cell>
          <cell r="J14">
            <v>2250</v>
          </cell>
          <cell r="K14">
            <v>980</v>
          </cell>
          <cell r="L14">
            <v>2340</v>
          </cell>
          <cell r="M14">
            <v>2570</v>
          </cell>
          <cell r="N14">
            <v>7610</v>
          </cell>
          <cell r="O14">
            <v>4420</v>
          </cell>
          <cell r="P14">
            <v>200</v>
          </cell>
          <cell r="T14">
            <v>11</v>
          </cell>
          <cell r="U14" t="str">
            <v xml:space="preserve">Industrial </v>
          </cell>
          <cell r="X14">
            <v>2200</v>
          </cell>
          <cell r="Y14">
            <v>3290</v>
          </cell>
          <cell r="Z14">
            <v>2020</v>
          </cell>
          <cell r="AA14">
            <v>740</v>
          </cell>
          <cell r="AB14">
            <v>290</v>
          </cell>
          <cell r="AC14">
            <v>1110</v>
          </cell>
          <cell r="AD14">
            <v>1350</v>
          </cell>
          <cell r="AE14">
            <v>1920</v>
          </cell>
          <cell r="AF14">
            <v>1300</v>
          </cell>
          <cell r="AG14">
            <v>410</v>
          </cell>
          <cell r="AH14">
            <v>1200</v>
          </cell>
          <cell r="AI14">
            <v>3050</v>
          </cell>
        </row>
        <row r="15">
          <cell r="E15">
            <v>1318.0475200000001</v>
          </cell>
          <cell r="F15">
            <v>661.97400000000005</v>
          </cell>
          <cell r="G15">
            <v>657.04200000000003</v>
          </cell>
          <cell r="H15">
            <v>648.48</v>
          </cell>
          <cell r="I15">
            <v>650.59400000000005</v>
          </cell>
          <cell r="J15">
            <v>662.40200000000004</v>
          </cell>
          <cell r="K15">
            <v>656.27300000000002</v>
          </cell>
          <cell r="L15">
            <v>661.15200000000004</v>
          </cell>
          <cell r="M15">
            <v>661.351</v>
          </cell>
          <cell r="N15">
            <v>659.39799999999991</v>
          </cell>
          <cell r="O15">
            <v>623.85400000000004</v>
          </cell>
          <cell r="P15">
            <v>623.15599999999995</v>
          </cell>
          <cell r="T15">
            <v>12</v>
          </cell>
          <cell r="U15" t="str">
            <v>Other</v>
          </cell>
          <cell r="X15">
            <v>-1629.32</v>
          </cell>
          <cell r="Y15">
            <v>-928.99218000000008</v>
          </cell>
          <cell r="Z15">
            <v>-2221.3755699999997</v>
          </cell>
          <cell r="AA15">
            <v>-2425.6199799999999</v>
          </cell>
          <cell r="AB15">
            <v>6276.6736200000005</v>
          </cell>
          <cell r="AC15">
            <v>6276.6736200000005</v>
          </cell>
          <cell r="AD15">
            <v>2351.9720000000002</v>
          </cell>
          <cell r="AE15">
            <v>869.64599999999996</v>
          </cell>
          <cell r="AF15">
            <v>-4495.3509999999997</v>
          </cell>
          <cell r="AG15">
            <v>-1903.722</v>
          </cell>
          <cell r="AH15">
            <v>-2530</v>
          </cell>
          <cell r="AI15">
            <v>-1381</v>
          </cell>
        </row>
        <row r="16">
          <cell r="E16">
            <v>54554.329519999999</v>
          </cell>
          <cell r="F16">
            <v>51681.074999999997</v>
          </cell>
          <cell r="G16">
            <v>45119.75</v>
          </cell>
          <cell r="H16">
            <v>43174.769000000008</v>
          </cell>
          <cell r="I16">
            <v>45403.697</v>
          </cell>
          <cell r="J16">
            <v>61225.494000000006</v>
          </cell>
          <cell r="K16">
            <v>64403.224999999999</v>
          </cell>
          <cell r="L16">
            <v>66564.97</v>
          </cell>
          <cell r="M16">
            <v>66810.209000000003</v>
          </cell>
          <cell r="N16">
            <v>59218.205000000002</v>
          </cell>
          <cell r="O16">
            <v>45351.176999999996</v>
          </cell>
          <cell r="P16">
            <v>42788.08</v>
          </cell>
          <cell r="T16">
            <v>13</v>
          </cell>
          <cell r="U16" t="str">
            <v>Total Deliveries</v>
          </cell>
          <cell r="X16">
            <v>52361.833999999995</v>
          </cell>
          <cell r="Y16">
            <v>54108.007819999999</v>
          </cell>
          <cell r="Z16">
            <v>47836.624430000003</v>
          </cell>
          <cell r="AA16">
            <v>39557.380019999997</v>
          </cell>
          <cell r="AB16">
            <v>51508.673620000001</v>
          </cell>
          <cell r="AC16">
            <v>61686.609620000003</v>
          </cell>
          <cell r="AD16">
            <v>69821.784999999989</v>
          </cell>
          <cell r="AE16">
            <v>68628.035999999993</v>
          </cell>
          <cell r="AF16">
            <v>56762.608</v>
          </cell>
          <cell r="AG16">
            <v>45095.844999999994</v>
          </cell>
          <cell r="AH16">
            <v>42220</v>
          </cell>
          <cell r="AI16">
            <v>44951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</row>
        <row r="20">
          <cell r="E20">
            <v>32498</v>
          </cell>
          <cell r="F20">
            <v>31866</v>
          </cell>
          <cell r="G20">
            <v>31941</v>
          </cell>
          <cell r="H20">
            <v>32016</v>
          </cell>
          <cell r="I20">
            <v>31979</v>
          </cell>
          <cell r="J20">
            <v>32071</v>
          </cell>
          <cell r="K20">
            <v>32072</v>
          </cell>
          <cell r="L20">
            <v>31996</v>
          </cell>
          <cell r="M20">
            <v>32017</v>
          </cell>
          <cell r="N20">
            <v>31965</v>
          </cell>
          <cell r="O20">
            <v>31964</v>
          </cell>
          <cell r="P20">
            <v>31970</v>
          </cell>
          <cell r="T20">
            <v>17</v>
          </cell>
        </row>
        <row r="21">
          <cell r="E21">
            <v>56539.516000000003</v>
          </cell>
          <cell r="F21">
            <v>56788.883999999998</v>
          </cell>
          <cell r="G21">
            <v>51125.248</v>
          </cell>
          <cell r="H21">
            <v>43851.938000000002</v>
          </cell>
          <cell r="I21">
            <v>48397.271999999997</v>
          </cell>
          <cell r="J21">
            <v>56706.097000000002</v>
          </cell>
          <cell r="K21">
            <v>68382.289999999994</v>
          </cell>
          <cell r="L21">
            <v>64587.491999999998</v>
          </cell>
          <cell r="M21">
            <v>64503.875</v>
          </cell>
          <cell r="N21">
            <v>51223.741000000002</v>
          </cell>
          <cell r="O21">
            <v>46213.260999999999</v>
          </cell>
          <cell r="P21">
            <v>50756.002</v>
          </cell>
          <cell r="T21">
            <v>18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24140</v>
          </cell>
          <cell r="F27">
            <v>24156</v>
          </cell>
          <cell r="G27">
            <v>24167</v>
          </cell>
          <cell r="H27">
            <v>24176</v>
          </cell>
          <cell r="I27">
            <v>24198</v>
          </cell>
          <cell r="J27">
            <v>24218</v>
          </cell>
          <cell r="K27">
            <v>24241</v>
          </cell>
          <cell r="L27">
            <v>24255</v>
          </cell>
          <cell r="M27">
            <v>24268</v>
          </cell>
          <cell r="N27">
            <v>24275</v>
          </cell>
          <cell r="O27">
            <v>24283</v>
          </cell>
          <cell r="P27">
            <v>24289</v>
          </cell>
          <cell r="T27">
            <v>24</v>
          </cell>
          <cell r="U27" t="str">
            <v>Residential</v>
          </cell>
          <cell r="X27">
            <v>23878</v>
          </cell>
          <cell r="Y27">
            <v>23905</v>
          </cell>
          <cell r="Z27">
            <v>23918</v>
          </cell>
          <cell r="AA27">
            <v>23949</v>
          </cell>
          <cell r="AB27">
            <v>23968</v>
          </cell>
          <cell r="AC27">
            <v>23981</v>
          </cell>
          <cell r="AD27">
            <v>23997</v>
          </cell>
          <cell r="AE27">
            <v>24014</v>
          </cell>
          <cell r="AF27">
            <v>24022</v>
          </cell>
          <cell r="AG27">
            <v>24022</v>
          </cell>
          <cell r="AH27">
            <v>24033</v>
          </cell>
          <cell r="AI27">
            <v>24039</v>
          </cell>
        </row>
        <row r="28">
          <cell r="E28">
            <v>7387</v>
          </cell>
          <cell r="F28">
            <v>7387</v>
          </cell>
          <cell r="G28">
            <v>7386</v>
          </cell>
          <cell r="H28">
            <v>7386</v>
          </cell>
          <cell r="I28">
            <v>7394</v>
          </cell>
          <cell r="J28">
            <v>7398</v>
          </cell>
          <cell r="K28">
            <v>7397</v>
          </cell>
          <cell r="L28">
            <v>7398</v>
          </cell>
          <cell r="M28">
            <v>7399</v>
          </cell>
          <cell r="N28">
            <v>7401</v>
          </cell>
          <cell r="O28">
            <v>7402</v>
          </cell>
          <cell r="P28">
            <v>7404</v>
          </cell>
          <cell r="T28">
            <v>25</v>
          </cell>
          <cell r="U28" t="str">
            <v>Commercial</v>
          </cell>
          <cell r="X28">
            <v>7374</v>
          </cell>
          <cell r="Y28">
            <v>7373</v>
          </cell>
          <cell r="Z28">
            <v>7369</v>
          </cell>
          <cell r="AA28">
            <v>7375</v>
          </cell>
          <cell r="AB28">
            <v>7377</v>
          </cell>
          <cell r="AC28">
            <v>7380</v>
          </cell>
          <cell r="AD28">
            <v>7383</v>
          </cell>
          <cell r="AE28">
            <v>7387</v>
          </cell>
          <cell r="AF28">
            <v>7390</v>
          </cell>
          <cell r="AG28">
            <v>7389</v>
          </cell>
          <cell r="AH28">
            <v>7390</v>
          </cell>
          <cell r="AI28">
            <v>7389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E31">
            <v>31529</v>
          </cell>
          <cell r="F31">
            <v>31545</v>
          </cell>
          <cell r="G31">
            <v>31555</v>
          </cell>
          <cell r="H31">
            <v>31564</v>
          </cell>
          <cell r="I31">
            <v>31594</v>
          </cell>
          <cell r="J31">
            <v>31618</v>
          </cell>
          <cell r="K31">
            <v>31640</v>
          </cell>
          <cell r="L31">
            <v>31655</v>
          </cell>
          <cell r="M31">
            <v>31669</v>
          </cell>
          <cell r="N31">
            <v>31678</v>
          </cell>
          <cell r="O31">
            <v>31687</v>
          </cell>
          <cell r="P31">
            <v>31695</v>
          </cell>
          <cell r="T31">
            <v>28</v>
          </cell>
          <cell r="U31" t="str">
            <v>Total customers</v>
          </cell>
          <cell r="X31">
            <v>31254</v>
          </cell>
          <cell r="Y31">
            <v>31280</v>
          </cell>
          <cell r="Z31">
            <v>31289</v>
          </cell>
          <cell r="AA31">
            <v>31326</v>
          </cell>
          <cell r="AB31">
            <v>31347</v>
          </cell>
          <cell r="AC31">
            <v>31363</v>
          </cell>
          <cell r="AD31">
            <v>31382</v>
          </cell>
          <cell r="AE31">
            <v>31403</v>
          </cell>
          <cell r="AF31">
            <v>31414</v>
          </cell>
          <cell r="AG31">
            <v>31413</v>
          </cell>
          <cell r="AH31">
            <v>31425</v>
          </cell>
          <cell r="AI31">
            <v>31430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26324.956999999999</v>
          </cell>
          <cell r="F35">
            <v>52765.510999999999</v>
          </cell>
          <cell r="G35">
            <v>73922.89499999999</v>
          </cell>
          <cell r="H35">
            <v>92206.020999999993</v>
          </cell>
          <cell r="I35">
            <v>112214.723</v>
          </cell>
          <cell r="J35">
            <v>141794.50399999999</v>
          </cell>
          <cell r="K35">
            <v>175764.35399999999</v>
          </cell>
          <cell r="L35">
            <v>209065.10199999998</v>
          </cell>
          <cell r="M35">
            <v>241690.761</v>
          </cell>
          <cell r="N35">
            <v>266044.95799999998</v>
          </cell>
          <cell r="O35">
            <v>283947.64600000001</v>
          </cell>
          <cell r="P35">
            <v>303653.59399999998</v>
          </cell>
          <cell r="T35">
            <v>32</v>
          </cell>
          <cell r="U35" t="str">
            <v>Residential</v>
          </cell>
          <cell r="X35">
            <v>27407.153999999999</v>
          </cell>
          <cell r="Y35">
            <v>55815.153999999995</v>
          </cell>
          <cell r="Z35">
            <v>80852.153999999995</v>
          </cell>
          <cell r="AA35">
            <v>100234.15399999999</v>
          </cell>
          <cell r="AB35">
            <v>120477.15399999999</v>
          </cell>
          <cell r="AC35">
            <v>147487.698</v>
          </cell>
          <cell r="AD35">
            <v>181559.72200000001</v>
          </cell>
          <cell r="AE35">
            <v>214960.867</v>
          </cell>
          <cell r="AF35">
            <v>244344.42600000001</v>
          </cell>
          <cell r="AG35">
            <v>265017.13800000004</v>
          </cell>
          <cell r="AH35">
            <v>284018.13800000004</v>
          </cell>
          <cell r="AI35">
            <v>303642.13800000004</v>
          </cell>
        </row>
        <row r="36">
          <cell r="E36">
            <v>24341.325000000001</v>
          </cell>
          <cell r="F36">
            <v>46199.872000000003</v>
          </cell>
          <cell r="G36">
            <v>68115.195999999996</v>
          </cell>
          <cell r="H36">
            <v>90918.358999999997</v>
          </cell>
          <cell r="I36">
            <v>114452.76</v>
          </cell>
          <cell r="J36">
            <v>143186.071</v>
          </cell>
          <cell r="K36">
            <v>171983.17300000001</v>
          </cell>
          <cell r="L36">
            <v>202246.24300000002</v>
          </cell>
          <cell r="M36">
            <v>233199.44200000001</v>
          </cell>
          <cell r="N36">
            <v>259794.05200000003</v>
          </cell>
          <cell r="O36">
            <v>282198.68700000003</v>
          </cell>
          <cell r="P36">
            <v>304457.66300000006</v>
          </cell>
          <cell r="T36">
            <v>33</v>
          </cell>
          <cell r="U36" t="str">
            <v>Commercial</v>
          </cell>
          <cell r="X36">
            <v>24384</v>
          </cell>
          <cell r="Y36">
            <v>47723</v>
          </cell>
          <cell r="Z36">
            <v>70724</v>
          </cell>
          <cell r="AA36">
            <v>92585</v>
          </cell>
          <cell r="AB36">
            <v>117284</v>
          </cell>
          <cell r="AC36">
            <v>144573.39199999999</v>
          </cell>
          <cell r="AD36">
            <v>176621.18099999998</v>
          </cell>
          <cell r="AE36">
            <v>209058.42599999998</v>
          </cell>
          <cell r="AF36">
            <v>239632.82599999997</v>
          </cell>
          <cell r="AG36">
            <v>265549.68099999998</v>
          </cell>
          <cell r="AH36">
            <v>290098.68099999998</v>
          </cell>
          <cell r="AI36">
            <v>313756.68099999998</v>
          </cell>
        </row>
        <row r="37">
          <cell r="E37">
            <v>2570</v>
          </cell>
          <cell r="F37">
            <v>5290</v>
          </cell>
          <cell r="G37">
            <v>6680</v>
          </cell>
          <cell r="H37">
            <v>8120</v>
          </cell>
          <cell r="I37">
            <v>9330</v>
          </cell>
          <cell r="J37">
            <v>11580</v>
          </cell>
          <cell r="K37">
            <v>12560</v>
          </cell>
          <cell r="L37">
            <v>14900</v>
          </cell>
          <cell r="M37">
            <v>17470</v>
          </cell>
          <cell r="N37">
            <v>25080</v>
          </cell>
          <cell r="O37">
            <v>29500</v>
          </cell>
          <cell r="P37">
            <v>29700</v>
          </cell>
          <cell r="T37">
            <v>34</v>
          </cell>
          <cell r="U37" t="str">
            <v xml:space="preserve">Industrial </v>
          </cell>
          <cell r="X37">
            <v>2200</v>
          </cell>
          <cell r="Y37">
            <v>5490</v>
          </cell>
          <cell r="Z37">
            <v>7510</v>
          </cell>
          <cell r="AA37">
            <v>8250</v>
          </cell>
          <cell r="AB37">
            <v>8540</v>
          </cell>
          <cell r="AC37">
            <v>9650</v>
          </cell>
          <cell r="AD37">
            <v>11000</v>
          </cell>
          <cell r="AE37">
            <v>12920</v>
          </cell>
          <cell r="AF37">
            <v>14220</v>
          </cell>
          <cell r="AG37">
            <v>14630</v>
          </cell>
          <cell r="AH37">
            <v>15830</v>
          </cell>
          <cell r="AI37">
            <v>18880</v>
          </cell>
        </row>
        <row r="38">
          <cell r="E38">
            <v>1318.0475200000001</v>
          </cell>
          <cell r="F38">
            <v>1980.0215200000002</v>
          </cell>
          <cell r="G38">
            <v>2637.0635200000002</v>
          </cell>
          <cell r="H38">
            <v>3285.5435200000002</v>
          </cell>
          <cell r="I38">
            <v>3936.1375200000002</v>
          </cell>
          <cell r="J38">
            <v>4598.5395200000003</v>
          </cell>
          <cell r="K38">
            <v>5254.8125200000004</v>
          </cell>
          <cell r="L38">
            <v>5915.9645200000004</v>
          </cell>
          <cell r="M38">
            <v>6577.3155200000001</v>
          </cell>
          <cell r="N38">
            <v>7236.7135200000002</v>
          </cell>
          <cell r="O38">
            <v>7860.5675200000005</v>
          </cell>
          <cell r="P38">
            <v>8483.7235199999996</v>
          </cell>
          <cell r="T38">
            <v>35</v>
          </cell>
          <cell r="U38" t="str">
            <v>Other</v>
          </cell>
          <cell r="X38">
            <v>-1629.32</v>
          </cell>
          <cell r="Y38">
            <v>-2558.3121799999999</v>
          </cell>
          <cell r="Z38">
            <v>-4779.6877499999991</v>
          </cell>
          <cell r="AA38">
            <v>-7205.3077299999986</v>
          </cell>
          <cell r="AB38">
            <v>-928.63410999999815</v>
          </cell>
          <cell r="AC38">
            <v>5348.0395100000023</v>
          </cell>
          <cell r="AD38">
            <v>7700.0115100000021</v>
          </cell>
          <cell r="AE38">
            <v>8569.6575100000027</v>
          </cell>
          <cell r="AF38">
            <v>4074.3065100000031</v>
          </cell>
          <cell r="AG38">
            <v>2170.5845100000033</v>
          </cell>
          <cell r="AH38">
            <v>-359.41548999999668</v>
          </cell>
          <cell r="AI38">
            <v>-1740.4154899999967</v>
          </cell>
        </row>
        <row r="39">
          <cell r="E39">
            <v>54554.329519999999</v>
          </cell>
          <cell r="F39">
            <v>106235.40452</v>
          </cell>
          <cell r="G39">
            <v>151355.15451999998</v>
          </cell>
          <cell r="H39">
            <v>194529.92352000001</v>
          </cell>
          <cell r="I39">
            <v>239933.62052</v>
          </cell>
          <cell r="J39">
            <v>301159.11451999994</v>
          </cell>
          <cell r="K39">
            <v>365562.33951999998</v>
          </cell>
          <cell r="L39">
            <v>432127.30951999995</v>
          </cell>
          <cell r="M39">
            <v>498937.51851999998</v>
          </cell>
          <cell r="N39">
            <v>558155.72352</v>
          </cell>
          <cell r="O39">
            <v>603506.90052000014</v>
          </cell>
          <cell r="P39">
            <v>646294.98051999998</v>
          </cell>
          <cell r="T39">
            <v>36</v>
          </cell>
          <cell r="U39" t="str">
            <v>Total Deliveries</v>
          </cell>
          <cell r="X39">
            <v>52361.833999999995</v>
          </cell>
          <cell r="Y39">
            <v>106469.84182</v>
          </cell>
          <cell r="Z39">
            <v>154306.46624999997</v>
          </cell>
          <cell r="AA39">
            <v>193863.84626999998</v>
          </cell>
          <cell r="AB39">
            <v>245372.51989</v>
          </cell>
          <cell r="AC39">
            <v>307059.12951</v>
          </cell>
          <cell r="AD39">
            <v>376880.91450999997</v>
          </cell>
          <cell r="AE39">
            <v>445508.95050999994</v>
          </cell>
          <cell r="AF39">
            <v>502271.55851</v>
          </cell>
          <cell r="AG39">
            <v>547367.40350999997</v>
          </cell>
          <cell r="AH39">
            <v>589587.40350999997</v>
          </cell>
          <cell r="AI39">
            <v>634538.40350999997</v>
          </cell>
        </row>
        <row r="40">
          <cell r="T40">
            <v>37</v>
          </cell>
        </row>
        <row r="41">
          <cell r="E41">
            <v>1</v>
          </cell>
          <cell r="F41">
            <v>2</v>
          </cell>
          <cell r="G41">
            <v>3</v>
          </cell>
          <cell r="H41">
            <v>4</v>
          </cell>
          <cell r="I41">
            <v>5</v>
          </cell>
          <cell r="J41">
            <v>6</v>
          </cell>
          <cell r="K41">
            <v>7</v>
          </cell>
          <cell r="L41">
            <v>8</v>
          </cell>
          <cell r="M41">
            <v>9</v>
          </cell>
          <cell r="N41">
            <v>10</v>
          </cell>
          <cell r="O41">
            <v>11</v>
          </cell>
          <cell r="P41">
            <v>12</v>
          </cell>
          <cell r="T41">
            <v>38</v>
          </cell>
        </row>
        <row r="42">
          <cell r="E42">
            <v>32498</v>
          </cell>
          <cell r="F42">
            <v>32182</v>
          </cell>
          <cell r="G42">
            <v>32102</v>
          </cell>
          <cell r="H42">
            <v>32080</v>
          </cell>
          <cell r="I42">
            <v>32060</v>
          </cell>
          <cell r="J42">
            <v>32062</v>
          </cell>
          <cell r="K42">
            <v>32063</v>
          </cell>
          <cell r="L42">
            <v>32055</v>
          </cell>
          <cell r="M42">
            <v>32051</v>
          </cell>
          <cell r="N42">
            <v>32042</v>
          </cell>
          <cell r="O42">
            <v>32035</v>
          </cell>
          <cell r="P42">
            <v>32030</v>
          </cell>
          <cell r="T42">
            <v>39</v>
          </cell>
        </row>
        <row r="43">
          <cell r="E43">
            <v>56539.516000000003</v>
          </cell>
          <cell r="F43">
            <v>113328.4</v>
          </cell>
          <cell r="G43">
            <v>164453.64799999999</v>
          </cell>
          <cell r="H43">
            <v>208305.58599999998</v>
          </cell>
          <cell r="I43">
            <v>256702.85799999998</v>
          </cell>
          <cell r="J43">
            <v>313408.95499999996</v>
          </cell>
          <cell r="K43">
            <v>381791.24499999994</v>
          </cell>
          <cell r="L43">
            <v>446378.73699999996</v>
          </cell>
          <cell r="M43">
            <v>510882.61199999996</v>
          </cell>
          <cell r="N43">
            <v>562106.353</v>
          </cell>
          <cell r="O43">
            <v>608319.61400000006</v>
          </cell>
          <cell r="P43">
            <v>659075.61600000004</v>
          </cell>
          <cell r="T43">
            <v>40</v>
          </cell>
        </row>
        <row r="45">
          <cell r="G45" t="str">
            <v>Q1 2016</v>
          </cell>
          <cell r="J45" t="str">
            <v>Q2 2016</v>
          </cell>
          <cell r="M45" t="str">
            <v>Q3 2016</v>
          </cell>
          <cell r="P45" t="str">
            <v>Q4 2016</v>
          </cell>
        </row>
        <row r="46">
          <cell r="G46">
            <v>24167</v>
          </cell>
          <cell r="J46">
            <v>24268</v>
          </cell>
          <cell r="M46">
            <v>24367</v>
          </cell>
          <cell r="P46">
            <v>24351</v>
          </cell>
        </row>
        <row r="47">
          <cell r="G47">
            <v>7386</v>
          </cell>
          <cell r="J47">
            <v>7410</v>
          </cell>
          <cell r="M47">
            <v>7402</v>
          </cell>
          <cell r="P47">
            <v>7420</v>
          </cell>
        </row>
        <row r="48">
          <cell r="G48">
            <v>2</v>
          </cell>
          <cell r="J48">
            <v>2</v>
          </cell>
          <cell r="M48">
            <v>2</v>
          </cell>
          <cell r="P48">
            <v>2</v>
          </cell>
        </row>
        <row r="49">
          <cell r="G49">
            <v>0</v>
          </cell>
          <cell r="J49">
            <v>0</v>
          </cell>
          <cell r="M49">
            <v>0</v>
          </cell>
          <cell r="P49">
            <v>0</v>
          </cell>
        </row>
        <row r="50">
          <cell r="G50">
            <v>31555</v>
          </cell>
          <cell r="J50">
            <v>31680</v>
          </cell>
          <cell r="M50">
            <v>31771</v>
          </cell>
          <cell r="P50">
            <v>31773</v>
          </cell>
        </row>
        <row r="53">
          <cell r="G53">
            <v>73923</v>
          </cell>
          <cell r="J53">
            <v>67872</v>
          </cell>
          <cell r="M53">
            <v>99896</v>
          </cell>
          <cell r="P53">
            <v>61963</v>
          </cell>
        </row>
        <row r="54">
          <cell r="G54">
            <v>68115</v>
          </cell>
          <cell r="J54">
            <v>75071</v>
          </cell>
          <cell r="M54">
            <v>90013</v>
          </cell>
          <cell r="P54">
            <v>71258</v>
          </cell>
        </row>
        <row r="55">
          <cell r="G55">
            <v>6680</v>
          </cell>
          <cell r="J55">
            <v>4900</v>
          </cell>
          <cell r="M55">
            <v>5890</v>
          </cell>
          <cell r="P55">
            <v>12230</v>
          </cell>
        </row>
        <row r="56">
          <cell r="G56">
            <v>2637</v>
          </cell>
          <cell r="J56">
            <v>1961</v>
          </cell>
          <cell r="M56">
            <v>1979</v>
          </cell>
          <cell r="P56">
            <v>1906</v>
          </cell>
        </row>
        <row r="57">
          <cell r="G57">
            <v>151355</v>
          </cell>
          <cell r="J57">
            <v>149804</v>
          </cell>
          <cell r="M57">
            <v>197778</v>
          </cell>
          <cell r="P57">
            <v>147357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18</v>
          </cell>
          <cell r="D7">
            <v>215</v>
          </cell>
          <cell r="E7">
            <v>22</v>
          </cell>
          <cell r="F7">
            <v>17</v>
          </cell>
          <cell r="G7">
            <v>17</v>
          </cell>
          <cell r="H7">
            <v>17</v>
          </cell>
          <cell r="I7">
            <v>18</v>
          </cell>
          <cell r="J7">
            <v>17</v>
          </cell>
          <cell r="K7">
            <v>18</v>
          </cell>
          <cell r="L7">
            <v>17</v>
          </cell>
          <cell r="M7">
            <v>19</v>
          </cell>
          <cell r="N7">
            <v>18</v>
          </cell>
          <cell r="O7">
            <v>18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19</v>
          </cell>
          <cell r="W7">
            <v>228</v>
          </cell>
          <cell r="X7">
            <v>19</v>
          </cell>
          <cell r="Y7">
            <v>19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20</v>
          </cell>
          <cell r="AE7">
            <v>19</v>
          </cell>
          <cell r="AF7">
            <v>21</v>
          </cell>
          <cell r="AG7">
            <v>18</v>
          </cell>
          <cell r="AH7">
            <v>19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15</v>
          </cell>
          <cell r="D9">
            <v>179</v>
          </cell>
          <cell r="E9">
            <v>19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14</v>
          </cell>
          <cell r="K9">
            <v>15</v>
          </cell>
          <cell r="L9">
            <v>14</v>
          </cell>
          <cell r="M9">
            <v>16</v>
          </cell>
          <cell r="N9">
            <v>15</v>
          </cell>
          <cell r="O9">
            <v>15</v>
          </cell>
          <cell r="P9">
            <v>14</v>
          </cell>
          <cell r="T9">
            <v>6</v>
          </cell>
          <cell r="U9" t="str">
            <v>Total customers</v>
          </cell>
          <cell r="V9">
            <v>16</v>
          </cell>
          <cell r="W9">
            <v>192</v>
          </cell>
          <cell r="X9">
            <v>16</v>
          </cell>
          <cell r="Y9">
            <v>16</v>
          </cell>
          <cell r="Z9">
            <v>16</v>
          </cell>
          <cell r="AA9">
            <v>17</v>
          </cell>
          <cell r="AB9">
            <v>16</v>
          </cell>
          <cell r="AC9">
            <v>15</v>
          </cell>
          <cell r="AD9">
            <v>17</v>
          </cell>
          <cell r="AE9">
            <v>16</v>
          </cell>
          <cell r="AF9">
            <v>18</v>
          </cell>
          <cell r="AG9">
            <v>15</v>
          </cell>
          <cell r="AH9">
            <v>16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(2016)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- 2015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51185112</v>
          </cell>
          <cell r="E14">
            <v>5120571</v>
          </cell>
          <cell r="F14">
            <v>4898898</v>
          </cell>
          <cell r="G14">
            <v>4430208</v>
          </cell>
          <cell r="H14">
            <v>4232997</v>
          </cell>
          <cell r="I14">
            <v>3597487</v>
          </cell>
          <cell r="J14">
            <v>3605282</v>
          </cell>
          <cell r="K14">
            <v>4338435</v>
          </cell>
          <cell r="L14">
            <v>4313372</v>
          </cell>
          <cell r="M14">
            <v>3919457</v>
          </cell>
          <cell r="N14">
            <v>4305707</v>
          </cell>
          <cell r="O14">
            <v>3539559</v>
          </cell>
          <cell r="P14">
            <v>4883139</v>
          </cell>
          <cell r="T14">
            <v>11</v>
          </cell>
          <cell r="U14" t="str">
            <v>Transportation firm</v>
          </cell>
          <cell r="X14">
            <v>4841809</v>
          </cell>
          <cell r="Y14">
            <v>4623188</v>
          </cell>
          <cell r="Z14">
            <v>4494023</v>
          </cell>
          <cell r="AA14">
            <v>3383917</v>
          </cell>
          <cell r="AB14">
            <v>3001043</v>
          </cell>
          <cell r="AC14">
            <v>2879224</v>
          </cell>
          <cell r="AD14">
            <v>2907950</v>
          </cell>
          <cell r="AE14">
            <v>2868179</v>
          </cell>
          <cell r="AF14">
            <v>2707737</v>
          </cell>
          <cell r="AG14">
            <v>2783613</v>
          </cell>
          <cell r="AH14">
            <v>3323172</v>
          </cell>
          <cell r="AI14">
            <v>4079434</v>
          </cell>
        </row>
        <row r="15">
          <cell r="A15">
            <v>12</v>
          </cell>
          <cell r="B15" t="str">
            <v>Interruptible transportation</v>
          </cell>
          <cell r="D15">
            <v>1896731</v>
          </cell>
          <cell r="E15">
            <v>158171</v>
          </cell>
          <cell r="F15">
            <v>119137</v>
          </cell>
          <cell r="G15">
            <v>176962</v>
          </cell>
          <cell r="H15">
            <v>81823</v>
          </cell>
          <cell r="I15">
            <v>91948</v>
          </cell>
          <cell r="J15">
            <v>98113</v>
          </cell>
          <cell r="K15">
            <v>373395</v>
          </cell>
          <cell r="L15">
            <v>330847</v>
          </cell>
          <cell r="M15">
            <v>259547</v>
          </cell>
          <cell r="N15">
            <v>113421</v>
          </cell>
          <cell r="O15">
            <v>48219</v>
          </cell>
          <cell r="P15">
            <v>45148</v>
          </cell>
          <cell r="T15">
            <v>12</v>
          </cell>
          <cell r="U15" t="str">
            <v>Interruptible transporation</v>
          </cell>
          <cell r="X15">
            <v>151493</v>
          </cell>
          <cell r="Y15">
            <v>53434</v>
          </cell>
          <cell r="Z15">
            <v>172435</v>
          </cell>
          <cell r="AA15">
            <v>257018</v>
          </cell>
          <cell r="AB15">
            <v>381436</v>
          </cell>
          <cell r="AC15">
            <v>560911</v>
          </cell>
          <cell r="AD15">
            <v>851712</v>
          </cell>
          <cell r="AE15">
            <v>709718</v>
          </cell>
          <cell r="AF15">
            <v>794572</v>
          </cell>
          <cell r="AG15">
            <v>591661</v>
          </cell>
          <cell r="AH15">
            <v>219151</v>
          </cell>
          <cell r="AI15">
            <v>374461</v>
          </cell>
        </row>
        <row r="16">
          <cell r="A16">
            <v>13</v>
          </cell>
          <cell r="B16" t="str">
            <v>Less: ESNG to DE, MD &amp; SP</v>
          </cell>
          <cell r="D16">
            <v>-11480210</v>
          </cell>
          <cell r="E16">
            <v>-1696097</v>
          </cell>
          <cell r="F16">
            <v>-1469209</v>
          </cell>
          <cell r="G16">
            <v>-1299910</v>
          </cell>
          <cell r="H16">
            <v>-873655</v>
          </cell>
          <cell r="I16">
            <v>-682658</v>
          </cell>
          <cell r="J16">
            <v>-550733</v>
          </cell>
          <cell r="K16">
            <v>-511945</v>
          </cell>
          <cell r="L16">
            <v>-545478</v>
          </cell>
          <cell r="M16">
            <v>-572139</v>
          </cell>
          <cell r="N16">
            <v>-761874</v>
          </cell>
          <cell r="O16">
            <v>-1001573</v>
          </cell>
          <cell r="P16">
            <v>-1514939</v>
          </cell>
          <cell r="T16">
            <v>13</v>
          </cell>
          <cell r="U16" t="str">
            <v>Less: ESNG to DE, MD and SP</v>
          </cell>
          <cell r="X16">
            <v>-1771653</v>
          </cell>
          <cell r="Y16">
            <v>-1824282</v>
          </cell>
          <cell r="Z16">
            <v>-1408312</v>
          </cell>
          <cell r="AA16">
            <v>-774044</v>
          </cell>
          <cell r="AB16">
            <v>-531249</v>
          </cell>
          <cell r="AC16">
            <v>-502830</v>
          </cell>
          <cell r="AD16">
            <v>-470951</v>
          </cell>
          <cell r="AE16">
            <v>-504684</v>
          </cell>
          <cell r="AF16">
            <v>-546805</v>
          </cell>
          <cell r="AG16">
            <v>-723011</v>
          </cell>
          <cell r="AH16">
            <v>-891508</v>
          </cell>
          <cell r="AI16">
            <v>-997784</v>
          </cell>
        </row>
        <row r="17">
          <cell r="A17">
            <v>14</v>
          </cell>
          <cell r="B17" t="str">
            <v>Total Deliveries</v>
          </cell>
          <cell r="D17">
            <v>41601633</v>
          </cell>
          <cell r="E17">
            <v>3582645</v>
          </cell>
          <cell r="F17">
            <v>3548826</v>
          </cell>
          <cell r="G17">
            <v>3307260</v>
          </cell>
          <cell r="H17">
            <v>3441165</v>
          </cell>
          <cell r="I17">
            <v>3006777</v>
          </cell>
          <cell r="J17">
            <v>3152662</v>
          </cell>
          <cell r="K17">
            <v>4199885</v>
          </cell>
          <cell r="L17">
            <v>4098741</v>
          </cell>
          <cell r="M17">
            <v>3606865</v>
          </cell>
          <cell r="N17">
            <v>3657254</v>
          </cell>
          <cell r="O17">
            <v>2586205</v>
          </cell>
          <cell r="P17">
            <v>3413348</v>
          </cell>
          <cell r="T17">
            <v>14</v>
          </cell>
          <cell r="U17" t="str">
            <v>Total Deliveries</v>
          </cell>
          <cell r="X17">
            <v>3221649</v>
          </cell>
          <cell r="Y17">
            <v>2852340</v>
          </cell>
          <cell r="Z17">
            <v>3258146</v>
          </cell>
          <cell r="AA17">
            <v>2866891</v>
          </cell>
          <cell r="AB17">
            <v>2851230</v>
          </cell>
          <cell r="AC17">
            <v>2937305</v>
          </cell>
          <cell r="AD17">
            <v>3288711</v>
          </cell>
          <cell r="AE17">
            <v>3073213</v>
          </cell>
          <cell r="AF17">
            <v>2955504</v>
          </cell>
          <cell r="AG17">
            <v>2652263</v>
          </cell>
          <cell r="AH17">
            <v>2650815</v>
          </cell>
          <cell r="AI17">
            <v>3456111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1.0596099999999999</v>
          </cell>
          <cell r="F20">
            <v>1.05722</v>
          </cell>
          <cell r="G20">
            <v>1.0540400000000001</v>
          </cell>
          <cell r="H20">
            <v>1.0559400000000001</v>
          </cell>
          <cell r="I20">
            <v>1.0512300000000001</v>
          </cell>
          <cell r="J20">
            <v>1.0520799999999999</v>
          </cell>
          <cell r="K20">
            <v>1.0566500000000001</v>
          </cell>
          <cell r="L20">
            <v>1.05559</v>
          </cell>
          <cell r="M20">
            <v>1.0542199999999999</v>
          </cell>
          <cell r="N20">
            <v>1.05263</v>
          </cell>
          <cell r="O20">
            <v>1.05226</v>
          </cell>
          <cell r="P20">
            <v>1.05254</v>
          </cell>
          <cell r="T20">
            <v>17</v>
          </cell>
          <cell r="X20">
            <v>1.06185</v>
          </cell>
          <cell r="Y20">
            <v>1.0644100000000001</v>
          </cell>
          <cell r="Z20">
            <v>1.0635699999999999</v>
          </cell>
          <cell r="AA20">
            <v>1.05844</v>
          </cell>
          <cell r="AB20">
            <v>1.05888</v>
          </cell>
          <cell r="AC20">
            <v>1.0630299999999999</v>
          </cell>
          <cell r="AD20">
            <v>1.05836</v>
          </cell>
          <cell r="AE20">
            <v>1.0565500000000001</v>
          </cell>
          <cell r="AF20">
            <v>1.05507</v>
          </cell>
          <cell r="AG20">
            <v>1.0595300000000001</v>
          </cell>
          <cell r="AH20">
            <v>1.05454</v>
          </cell>
          <cell r="AI20">
            <v>1.05528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53985140.832150012</v>
          </cell>
          <cell r="E22">
            <v>5425808</v>
          </cell>
          <cell r="F22">
            <v>5179213</v>
          </cell>
          <cell r="G22">
            <v>4669616</v>
          </cell>
          <cell r="H22">
            <v>4469791</v>
          </cell>
          <cell r="I22">
            <v>3781786.2590100006</v>
          </cell>
          <cell r="J22">
            <v>3793045.0865599997</v>
          </cell>
          <cell r="K22">
            <v>4584207.3427500008</v>
          </cell>
          <cell r="L22">
            <v>4553152.3494800003</v>
          </cell>
          <cell r="M22">
            <v>4131969.9585399996</v>
          </cell>
          <cell r="N22">
            <v>4532316.35941</v>
          </cell>
          <cell r="O22">
            <v>3724536.3533399999</v>
          </cell>
          <cell r="P22">
            <v>5139699.1230600001</v>
          </cell>
          <cell r="T22">
            <v>19</v>
          </cell>
          <cell r="U22" t="str">
            <v>Transportation firm</v>
          </cell>
          <cell r="X22">
            <v>5141274.8866499998</v>
          </cell>
          <cell r="Y22">
            <v>4920967.5390800005</v>
          </cell>
          <cell r="Z22">
            <v>4779708.0421099998</v>
          </cell>
          <cell r="AA22">
            <v>3581673.1094800001</v>
          </cell>
          <cell r="AB22">
            <v>3177744.4118400002</v>
          </cell>
          <cell r="AC22">
            <v>3060701.4887199998</v>
          </cell>
          <cell r="AD22">
            <v>3077657.9619999998</v>
          </cell>
          <cell r="AE22">
            <v>3030374.5224500005</v>
          </cell>
          <cell r="AF22">
            <v>2856852.0765899997</v>
          </cell>
          <cell r="AG22">
            <v>2949321.4818900004</v>
          </cell>
          <cell r="AH22">
            <v>3504417.80088</v>
          </cell>
          <cell r="AI22">
            <v>4304945.1115199998</v>
          </cell>
        </row>
        <row r="23">
          <cell r="A23">
            <v>20</v>
          </cell>
          <cell r="B23" t="str">
            <v>Interruptible transportation</v>
          </cell>
          <cell r="D23">
            <v>2001415.8189900001</v>
          </cell>
          <cell r="E23">
            <v>167600</v>
          </cell>
          <cell r="F23">
            <v>125954</v>
          </cell>
          <cell r="G23">
            <v>186525</v>
          </cell>
          <cell r="H23">
            <v>86400</v>
          </cell>
          <cell r="I23">
            <v>96658.496040000013</v>
          </cell>
          <cell r="J23">
            <v>103222.72503999999</v>
          </cell>
          <cell r="K23">
            <v>394547.82675000001</v>
          </cell>
          <cell r="L23">
            <v>349238.78473000001</v>
          </cell>
          <cell r="M23">
            <v>273619.63834</v>
          </cell>
          <cell r="N23">
            <v>119390.34723</v>
          </cell>
          <cell r="O23">
            <v>50738.924939999997</v>
          </cell>
          <cell r="P23">
            <v>47520.075920000003</v>
          </cell>
          <cell r="T23">
            <v>20</v>
          </cell>
          <cell r="U23" t="str">
            <v>Interruptible transportation</v>
          </cell>
          <cell r="X23">
            <v>160862.84205000001</v>
          </cell>
          <cell r="Y23">
            <v>56875.683940000003</v>
          </cell>
          <cell r="Z23">
            <v>183396.69295</v>
          </cell>
          <cell r="AA23">
            <v>272038.13192000001</v>
          </cell>
          <cell r="AB23">
            <v>403894.95168</v>
          </cell>
          <cell r="AC23">
            <v>596265.22032999992</v>
          </cell>
          <cell r="AD23">
            <v>901417.91232</v>
          </cell>
          <cell r="AE23">
            <v>749852.55290000013</v>
          </cell>
          <cell r="AF23">
            <v>838329.08003999991</v>
          </cell>
          <cell r="AG23">
            <v>626882.5793300001</v>
          </cell>
          <cell r="AH23">
            <v>231103.49554</v>
          </cell>
          <cell r="AI23">
            <v>395161.20408</v>
          </cell>
        </row>
        <row r="24">
          <cell r="A24">
            <v>21</v>
          </cell>
          <cell r="B24" t="str">
            <v>Less: ESNG to DE, MD &amp; SP</v>
          </cell>
          <cell r="D24">
            <v>-12110536.455489997</v>
          </cell>
          <cell r="E24">
            <v>-1797201</v>
          </cell>
          <cell r="F24">
            <v>-1553277</v>
          </cell>
          <cell r="G24">
            <v>-1370157</v>
          </cell>
          <cell r="H24">
            <v>-922527</v>
          </cell>
          <cell r="I24">
            <v>-717630.56934000005</v>
          </cell>
          <cell r="J24">
            <v>-579415.17463999998</v>
          </cell>
          <cell r="K24">
            <v>-540946.68425000005</v>
          </cell>
          <cell r="L24">
            <v>-575801.12202000001</v>
          </cell>
          <cell r="M24">
            <v>-603160.37657999992</v>
          </cell>
          <cell r="N24">
            <v>-801971.42862000002</v>
          </cell>
          <cell r="O24">
            <v>-1053915.2049799999</v>
          </cell>
          <cell r="P24">
            <v>-1594533.89506</v>
          </cell>
          <cell r="T24">
            <v>21</v>
          </cell>
          <cell r="U24" t="str">
            <v>Less: ESNG to DE, MD and SP</v>
          </cell>
          <cell r="X24">
            <v>-1881229.73805</v>
          </cell>
          <cell r="Y24">
            <v>-1941784.0036200001</v>
          </cell>
          <cell r="Z24">
            <v>-1497838.3938399998</v>
          </cell>
          <cell r="AA24">
            <v>-819279.13136</v>
          </cell>
          <cell r="AB24">
            <v>-562528.94111999997</v>
          </cell>
          <cell r="AC24">
            <v>-534523.37489999994</v>
          </cell>
          <cell r="AD24">
            <v>-498435.70035999996</v>
          </cell>
          <cell r="AE24">
            <v>-533223.88020000001</v>
          </cell>
          <cell r="AF24">
            <v>-576917.55134999997</v>
          </cell>
          <cell r="AG24">
            <v>-766051.84483000007</v>
          </cell>
          <cell r="AH24">
            <v>-940130.84632000001</v>
          </cell>
          <cell r="AI24">
            <v>-1052941.4995200001</v>
          </cell>
        </row>
        <row r="25">
          <cell r="A25">
            <v>22</v>
          </cell>
          <cell r="B25" t="str">
            <v>Total Deliveries</v>
          </cell>
          <cell r="D25">
            <v>0</v>
          </cell>
          <cell r="E25">
            <v>3796207</v>
          </cell>
          <cell r="F25">
            <v>3751890</v>
          </cell>
          <cell r="G25">
            <v>3485984</v>
          </cell>
          <cell r="H25">
            <v>3633664</v>
          </cell>
          <cell r="I25">
            <v>3160814.1857100008</v>
          </cell>
          <cell r="J25">
            <v>3316852.6369599998</v>
          </cell>
          <cell r="K25">
            <v>4437808.4852500008</v>
          </cell>
          <cell r="L25">
            <v>4326590.0121900011</v>
          </cell>
          <cell r="M25">
            <v>3802429.2202999992</v>
          </cell>
          <cell r="N25">
            <v>3849735.2780200006</v>
          </cell>
          <cell r="O25">
            <v>2721360.0732999998</v>
          </cell>
          <cell r="P25">
            <v>3592685.3039199999</v>
          </cell>
          <cell r="T25">
            <v>22</v>
          </cell>
          <cell r="U25" t="str">
            <v>Total Deliveries</v>
          </cell>
          <cell r="X25">
            <v>3420907.9906500001</v>
          </cell>
          <cell r="Y25">
            <v>3036059.2194000003</v>
          </cell>
          <cell r="Z25">
            <v>3465266.3412199998</v>
          </cell>
          <cell r="AA25">
            <v>3034432.1100400002</v>
          </cell>
          <cell r="AB25">
            <v>3019110.4224</v>
          </cell>
          <cell r="AC25">
            <v>3122443.3341499995</v>
          </cell>
          <cell r="AD25">
            <v>3480640.1739599998</v>
          </cell>
          <cell r="AE25">
            <v>3247003.1951500005</v>
          </cell>
          <cell r="AF25">
            <v>3118263.6052799998</v>
          </cell>
          <cell r="AG25">
            <v>2810152.2163900007</v>
          </cell>
          <cell r="AH25">
            <v>2795390.4501</v>
          </cell>
          <cell r="AI25">
            <v>3647164.8160799993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47394386</v>
          </cell>
          <cell r="E29">
            <v>5420569</v>
          </cell>
          <cell r="F29">
            <v>4957539</v>
          </cell>
          <cell r="G29">
            <v>5030603</v>
          </cell>
          <cell r="H29">
            <v>3556997</v>
          </cell>
          <cell r="I29">
            <v>3279389</v>
          </cell>
          <cell r="J29">
            <v>3155285</v>
          </cell>
          <cell r="K29">
            <v>3209004</v>
          </cell>
          <cell r="L29">
            <v>3178578</v>
          </cell>
          <cell r="M29">
            <v>3118279</v>
          </cell>
          <cell r="N29">
            <v>3946975</v>
          </cell>
          <cell r="O29">
            <v>4516693</v>
          </cell>
          <cell r="P29">
            <v>4024475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-11431269</v>
          </cell>
          <cell r="E30">
            <v>-1810534</v>
          </cell>
          <cell r="F30">
            <v>-1688193</v>
          </cell>
          <cell r="G30">
            <v>-1445425</v>
          </cell>
          <cell r="H30">
            <v>-764910</v>
          </cell>
          <cell r="I30">
            <v>-542939</v>
          </cell>
          <cell r="J30">
            <v>-496694</v>
          </cell>
          <cell r="K30">
            <v>-466630</v>
          </cell>
          <cell r="L30">
            <v>-486547</v>
          </cell>
          <cell r="M30">
            <v>-551346</v>
          </cell>
          <cell r="N30">
            <v>-697097</v>
          </cell>
          <cell r="O30">
            <v>-1099777</v>
          </cell>
          <cell r="P30">
            <v>-1381177</v>
          </cell>
          <cell r="T30">
            <v>27</v>
          </cell>
        </row>
        <row r="31">
          <cell r="A31">
            <v>28</v>
          </cell>
          <cell r="D31">
            <v>35963117</v>
          </cell>
          <cell r="E31">
            <v>3610035</v>
          </cell>
          <cell r="F31">
            <v>3269346</v>
          </cell>
          <cell r="G31">
            <v>3585178</v>
          </cell>
          <cell r="H31">
            <v>2792087</v>
          </cell>
          <cell r="I31">
            <v>2736450</v>
          </cell>
          <cell r="J31">
            <v>2658591</v>
          </cell>
          <cell r="K31">
            <v>2742374</v>
          </cell>
          <cell r="L31">
            <v>2692031</v>
          </cell>
          <cell r="M31">
            <v>2566933</v>
          </cell>
          <cell r="N31">
            <v>3249878</v>
          </cell>
          <cell r="O31">
            <v>3416916</v>
          </cell>
          <cell r="P31">
            <v>2643298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49053189.509999998</v>
          </cell>
          <cell r="E33">
            <v>5610288.9149999991</v>
          </cell>
          <cell r="F33">
            <v>5131052.8649999993</v>
          </cell>
          <cell r="G33">
            <v>5206674.1049999995</v>
          </cell>
          <cell r="H33">
            <v>3681491.8949999996</v>
          </cell>
          <cell r="I33">
            <v>3394167.6149999998</v>
          </cell>
          <cell r="J33">
            <v>3265719.9749999996</v>
          </cell>
          <cell r="K33">
            <v>3321319.1399999997</v>
          </cell>
          <cell r="L33">
            <v>3289828.2299999995</v>
          </cell>
          <cell r="M33">
            <v>3227418.7649999997</v>
          </cell>
          <cell r="N33">
            <v>4085119.1249999995</v>
          </cell>
          <cell r="O33">
            <v>4674777.2549999999</v>
          </cell>
          <cell r="P33">
            <v>4165331.6249999995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-11831363.414999999</v>
          </cell>
          <cell r="E34">
            <v>-1873902.69</v>
          </cell>
          <cell r="F34">
            <v>-1747279.7549999999</v>
          </cell>
          <cell r="G34">
            <v>-1496014.875</v>
          </cell>
          <cell r="H34">
            <v>-791681.85</v>
          </cell>
          <cell r="I34">
            <v>-561941.86499999999</v>
          </cell>
          <cell r="J34">
            <v>-514078.29</v>
          </cell>
          <cell r="K34">
            <v>-482962.05</v>
          </cell>
          <cell r="L34">
            <v>-503576.14499999996</v>
          </cell>
          <cell r="M34">
            <v>-570643.11</v>
          </cell>
          <cell r="N34">
            <v>-721495.3949999999</v>
          </cell>
          <cell r="O34">
            <v>-1138269.1949999998</v>
          </cell>
          <cell r="P34">
            <v>-1429518.1949999998</v>
          </cell>
          <cell r="T34">
            <v>31</v>
          </cell>
        </row>
        <row r="35">
          <cell r="A35">
            <v>32</v>
          </cell>
          <cell r="D35">
            <v>37221826.094999999</v>
          </cell>
          <cell r="E35">
            <v>3736386.2249999992</v>
          </cell>
          <cell r="F35">
            <v>3383773.1099999994</v>
          </cell>
          <cell r="G35">
            <v>3710659.2299999995</v>
          </cell>
          <cell r="H35">
            <v>2889810.0449999995</v>
          </cell>
          <cell r="I35">
            <v>2832225.75</v>
          </cell>
          <cell r="J35">
            <v>2751641.6849999996</v>
          </cell>
          <cell r="K35">
            <v>2838357.09</v>
          </cell>
          <cell r="L35">
            <v>2786252.0849999995</v>
          </cell>
          <cell r="M35">
            <v>2656775.6549999998</v>
          </cell>
          <cell r="N35">
            <v>3363623.7299999995</v>
          </cell>
          <cell r="O35">
            <v>3536508.06</v>
          </cell>
          <cell r="P35">
            <v>2735813.4299999997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- 2015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22</v>
          </cell>
          <cell r="F43">
            <v>19.5</v>
          </cell>
          <cell r="G43">
            <v>18.666666666666668</v>
          </cell>
          <cell r="H43">
            <v>18.25</v>
          </cell>
          <cell r="I43">
            <v>18.2</v>
          </cell>
          <cell r="J43">
            <v>18</v>
          </cell>
          <cell r="K43">
            <v>18</v>
          </cell>
          <cell r="L43">
            <v>17.875</v>
          </cell>
          <cell r="M43">
            <v>18</v>
          </cell>
          <cell r="N43">
            <v>18</v>
          </cell>
          <cell r="O43">
            <v>18</v>
          </cell>
          <cell r="P43">
            <v>17.916666666666668</v>
          </cell>
          <cell r="T43">
            <v>40</v>
          </cell>
          <cell r="U43" t="str">
            <v>Interruptible transporation</v>
          </cell>
          <cell r="X43">
            <v>19</v>
          </cell>
          <cell r="Y43">
            <v>19</v>
          </cell>
          <cell r="Z43">
            <v>19</v>
          </cell>
          <cell r="AA43">
            <v>19.25</v>
          </cell>
          <cell r="AB43">
            <v>19.2</v>
          </cell>
          <cell r="AC43">
            <v>19</v>
          </cell>
          <cell r="AD43">
            <v>19.142857142857142</v>
          </cell>
          <cell r="AE43">
            <v>19.125</v>
          </cell>
          <cell r="AF43">
            <v>19.333333333333332</v>
          </cell>
          <cell r="AG43">
            <v>19.2</v>
          </cell>
          <cell r="AH43">
            <v>19.181818181818183</v>
          </cell>
          <cell r="AI43">
            <v>19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19</v>
          </cell>
          <cell r="F45">
            <v>16.5</v>
          </cell>
          <cell r="G45">
            <v>15.666666666666668</v>
          </cell>
          <cell r="H45">
            <v>15.25</v>
          </cell>
          <cell r="I45">
            <v>15.2</v>
          </cell>
          <cell r="J45">
            <v>15</v>
          </cell>
          <cell r="K45">
            <v>15</v>
          </cell>
          <cell r="L45">
            <v>14.875</v>
          </cell>
          <cell r="M45">
            <v>15</v>
          </cell>
          <cell r="N45">
            <v>15</v>
          </cell>
          <cell r="O45">
            <v>15</v>
          </cell>
          <cell r="P45">
            <v>14.916666666666668</v>
          </cell>
          <cell r="T45">
            <v>42</v>
          </cell>
          <cell r="U45" t="str">
            <v>Total customers</v>
          </cell>
          <cell r="X45">
            <v>16</v>
          </cell>
          <cell r="Y45">
            <v>16</v>
          </cell>
          <cell r="Z45">
            <v>16</v>
          </cell>
          <cell r="AA45">
            <v>16.25</v>
          </cell>
          <cell r="AB45">
            <v>16.2</v>
          </cell>
          <cell r="AC45">
            <v>16</v>
          </cell>
          <cell r="AD45">
            <v>16.142857142857142</v>
          </cell>
          <cell r="AE45">
            <v>16.125</v>
          </cell>
          <cell r="AF45">
            <v>16.333333333333332</v>
          </cell>
          <cell r="AG45">
            <v>16.2</v>
          </cell>
          <cell r="AH45">
            <v>16.181818181818183</v>
          </cell>
          <cell r="AI45">
            <v>16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- 2015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5120571</v>
          </cell>
          <cell r="F51">
            <v>10019469</v>
          </cell>
          <cell r="G51">
            <v>14449677</v>
          </cell>
          <cell r="H51">
            <v>18682674</v>
          </cell>
          <cell r="I51">
            <v>22280161</v>
          </cell>
          <cell r="J51">
            <v>25885443</v>
          </cell>
          <cell r="K51">
            <v>30223878</v>
          </cell>
          <cell r="L51">
            <v>34537250</v>
          </cell>
          <cell r="M51">
            <v>38456707</v>
          </cell>
          <cell r="N51">
            <v>42762414</v>
          </cell>
          <cell r="O51">
            <v>46301973</v>
          </cell>
          <cell r="P51">
            <v>51185112</v>
          </cell>
          <cell r="T51">
            <v>48</v>
          </cell>
          <cell r="U51" t="str">
            <v>Transportation firm</v>
          </cell>
          <cell r="X51">
            <v>4841809</v>
          </cell>
          <cell r="Y51">
            <v>9464997</v>
          </cell>
          <cell r="Z51">
            <v>13959020</v>
          </cell>
          <cell r="AA51">
            <v>17342937</v>
          </cell>
          <cell r="AB51">
            <v>20343980</v>
          </cell>
          <cell r="AC51">
            <v>23223204</v>
          </cell>
          <cell r="AD51">
            <v>26131154</v>
          </cell>
          <cell r="AE51">
            <v>28999333</v>
          </cell>
          <cell r="AF51">
            <v>31707070</v>
          </cell>
          <cell r="AG51">
            <v>34490683</v>
          </cell>
          <cell r="AH51">
            <v>37813855</v>
          </cell>
          <cell r="AI51">
            <v>41893289</v>
          </cell>
        </row>
        <row r="52">
          <cell r="A52">
            <v>49</v>
          </cell>
          <cell r="B52" t="str">
            <v>Interruptible transportation</v>
          </cell>
          <cell r="E52">
            <v>158171</v>
          </cell>
          <cell r="F52">
            <v>277308</v>
          </cell>
          <cell r="G52">
            <v>454270</v>
          </cell>
          <cell r="H52">
            <v>536093</v>
          </cell>
          <cell r="I52">
            <v>628041</v>
          </cell>
          <cell r="J52">
            <v>726154</v>
          </cell>
          <cell r="K52">
            <v>1099549</v>
          </cell>
          <cell r="L52">
            <v>1430396</v>
          </cell>
          <cell r="M52">
            <v>1689943</v>
          </cell>
          <cell r="N52">
            <v>1803364</v>
          </cell>
          <cell r="O52">
            <v>1851583</v>
          </cell>
          <cell r="P52">
            <v>1896731</v>
          </cell>
          <cell r="T52">
            <v>49</v>
          </cell>
          <cell r="U52" t="str">
            <v>Interruptible transporation</v>
          </cell>
          <cell r="X52">
            <v>151493</v>
          </cell>
          <cell r="Y52">
            <v>204927</v>
          </cell>
          <cell r="Z52">
            <v>377362</v>
          </cell>
          <cell r="AA52">
            <v>634380</v>
          </cell>
          <cell r="AB52">
            <v>1015816</v>
          </cell>
          <cell r="AC52">
            <v>1576727</v>
          </cell>
          <cell r="AD52">
            <v>2428439</v>
          </cell>
          <cell r="AE52">
            <v>3138157</v>
          </cell>
          <cell r="AF52">
            <v>3932729</v>
          </cell>
          <cell r="AG52">
            <v>4524390</v>
          </cell>
          <cell r="AH52">
            <v>4743541</v>
          </cell>
          <cell r="AI52">
            <v>5118002</v>
          </cell>
        </row>
        <row r="53">
          <cell r="A53">
            <v>50</v>
          </cell>
          <cell r="B53" t="str">
            <v>Less: ESNG to DE, MD &amp; SP</v>
          </cell>
          <cell r="E53">
            <v>-1696097</v>
          </cell>
          <cell r="F53">
            <v>-3165306</v>
          </cell>
          <cell r="G53">
            <v>-4465216</v>
          </cell>
          <cell r="H53">
            <v>-5338871</v>
          </cell>
          <cell r="I53">
            <v>-6021529</v>
          </cell>
          <cell r="J53">
            <v>-6572262</v>
          </cell>
          <cell r="K53">
            <v>-7084207</v>
          </cell>
          <cell r="L53">
            <v>-7629685</v>
          </cell>
          <cell r="M53">
            <v>-8201824</v>
          </cell>
          <cell r="N53">
            <v>-8963698</v>
          </cell>
          <cell r="O53">
            <v>-9965271</v>
          </cell>
          <cell r="P53">
            <v>-11480210</v>
          </cell>
          <cell r="T53">
            <v>50</v>
          </cell>
          <cell r="U53" t="str">
            <v>Less: ESNG to DE, MD &amp; SP</v>
          </cell>
          <cell r="X53">
            <v>-1771653</v>
          </cell>
          <cell r="Y53">
            <v>-3595935</v>
          </cell>
          <cell r="Z53">
            <v>-5004247</v>
          </cell>
          <cell r="AA53">
            <v>-5778291</v>
          </cell>
          <cell r="AB53">
            <v>-6309540</v>
          </cell>
          <cell r="AC53">
            <v>-6812370</v>
          </cell>
          <cell r="AD53">
            <v>-7283321</v>
          </cell>
          <cell r="AE53">
            <v>-7788005</v>
          </cell>
          <cell r="AF53">
            <v>-8334810</v>
          </cell>
          <cell r="AG53">
            <v>-9057821</v>
          </cell>
          <cell r="AH53">
            <v>-9949329</v>
          </cell>
          <cell r="AI53">
            <v>-10947113</v>
          </cell>
        </row>
        <row r="54">
          <cell r="A54">
            <v>51</v>
          </cell>
          <cell r="B54" t="str">
            <v>Total Deliveries</v>
          </cell>
          <cell r="E54">
            <v>3582645</v>
          </cell>
          <cell r="F54">
            <v>7131471</v>
          </cell>
          <cell r="G54">
            <v>10438731</v>
          </cell>
          <cell r="H54">
            <v>13879896</v>
          </cell>
          <cell r="I54">
            <v>16886673</v>
          </cell>
          <cell r="J54">
            <v>20039335</v>
          </cell>
          <cell r="K54">
            <v>24239220</v>
          </cell>
          <cell r="L54">
            <v>28337961</v>
          </cell>
          <cell r="M54">
            <v>31944826</v>
          </cell>
          <cell r="N54">
            <v>35602080</v>
          </cell>
          <cell r="O54">
            <v>38188285</v>
          </cell>
          <cell r="P54">
            <v>41601633</v>
          </cell>
          <cell r="T54">
            <v>51</v>
          </cell>
          <cell r="U54" t="str">
            <v>Total Deliveries</v>
          </cell>
          <cell r="X54">
            <v>3221649</v>
          </cell>
          <cell r="Y54">
            <v>6073989</v>
          </cell>
          <cell r="Z54">
            <v>9332135</v>
          </cell>
          <cell r="AA54">
            <v>12199026</v>
          </cell>
          <cell r="AB54">
            <v>15050256</v>
          </cell>
          <cell r="AC54">
            <v>17987561</v>
          </cell>
          <cell r="AD54">
            <v>21276272</v>
          </cell>
          <cell r="AE54">
            <v>24349485</v>
          </cell>
          <cell r="AF54">
            <v>27304989</v>
          </cell>
          <cell r="AG54">
            <v>29957252</v>
          </cell>
          <cell r="AH54">
            <v>32608067</v>
          </cell>
          <cell r="AI54">
            <v>36064178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5425808</v>
          </cell>
          <cell r="F58">
            <v>10605021</v>
          </cell>
          <cell r="G58">
            <v>15274637</v>
          </cell>
          <cell r="H58">
            <v>19744428</v>
          </cell>
          <cell r="I58">
            <v>23526214.259010002</v>
          </cell>
          <cell r="J58">
            <v>27319259.345570002</v>
          </cell>
          <cell r="K58">
            <v>31903466.688320003</v>
          </cell>
          <cell r="L58">
            <v>36456619.037800007</v>
          </cell>
          <cell r="M58">
            <v>40588588.996340007</v>
          </cell>
          <cell r="N58">
            <v>45120905.355750009</v>
          </cell>
          <cell r="O58">
            <v>48845441.709090009</v>
          </cell>
          <cell r="P58">
            <v>53985140.832150012</v>
          </cell>
          <cell r="T58">
            <v>55</v>
          </cell>
          <cell r="U58" t="str">
            <v>Transportation firm</v>
          </cell>
          <cell r="X58">
            <v>5141274.8866499998</v>
          </cell>
          <cell r="Y58">
            <v>10062242.425730001</v>
          </cell>
          <cell r="Z58">
            <v>14841950.467840001</v>
          </cell>
          <cell r="AA58">
            <v>18423623.577320002</v>
          </cell>
          <cell r="AB58">
            <v>21601367.989160001</v>
          </cell>
          <cell r="AC58">
            <v>24662069.477880001</v>
          </cell>
          <cell r="AD58">
            <v>27739727.439880002</v>
          </cell>
          <cell r="AE58">
            <v>30770101.962330002</v>
          </cell>
          <cell r="AF58">
            <v>33626954.03892</v>
          </cell>
          <cell r="AG58">
            <v>36576275.520810001</v>
          </cell>
          <cell r="AH58">
            <v>40080693.321690001</v>
          </cell>
          <cell r="AI58">
            <v>44385638.43321</v>
          </cell>
        </row>
        <row r="59">
          <cell r="A59">
            <v>56</v>
          </cell>
          <cell r="B59" t="str">
            <v>Interruptible transportation</v>
          </cell>
          <cell r="E59">
            <v>167600</v>
          </cell>
          <cell r="F59">
            <v>293554</v>
          </cell>
          <cell r="G59">
            <v>480079</v>
          </cell>
          <cell r="H59">
            <v>566479</v>
          </cell>
          <cell r="I59">
            <v>663137.49604</v>
          </cell>
          <cell r="J59">
            <v>766360.22108000005</v>
          </cell>
          <cell r="K59">
            <v>1160908.0478300001</v>
          </cell>
          <cell r="L59">
            <v>1510146.83256</v>
          </cell>
          <cell r="M59">
            <v>1783766.4709000001</v>
          </cell>
          <cell r="N59">
            <v>1903156.81813</v>
          </cell>
          <cell r="O59">
            <v>1953895.7430700001</v>
          </cell>
          <cell r="P59">
            <v>2001415.8189900001</v>
          </cell>
        </row>
        <row r="60">
          <cell r="A60">
            <v>57</v>
          </cell>
          <cell r="B60" t="str">
            <v>Less: ESNG to DE, MD &amp; SP</v>
          </cell>
          <cell r="E60">
            <v>-1797201</v>
          </cell>
          <cell r="F60">
            <v>-3350478</v>
          </cell>
          <cell r="G60">
            <v>-4720635</v>
          </cell>
          <cell r="H60">
            <v>-5643162</v>
          </cell>
          <cell r="I60">
            <v>-6360792.5693399999</v>
          </cell>
          <cell r="J60">
            <v>-6940207.7439799998</v>
          </cell>
          <cell r="K60">
            <v>-7481154.4282299997</v>
          </cell>
          <cell r="L60">
            <v>-8056955.5502499994</v>
          </cell>
          <cell r="M60">
            <v>-8660115.9268299993</v>
          </cell>
          <cell r="N60">
            <v>-9462087.3554499988</v>
          </cell>
          <cell r="O60">
            <v>-10516002.560429998</v>
          </cell>
          <cell r="P60">
            <v>-12110536.455489997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3796207</v>
          </cell>
          <cell r="F61">
            <v>7548097</v>
          </cell>
          <cell r="G61">
            <v>11034081</v>
          </cell>
          <cell r="H61">
            <v>14667745</v>
          </cell>
          <cell r="I61">
            <v>17828559.185710005</v>
          </cell>
          <cell r="J61">
            <v>21145411.822670005</v>
          </cell>
          <cell r="K61">
            <v>25583220.307920005</v>
          </cell>
          <cell r="L61">
            <v>29909810.320110008</v>
          </cell>
          <cell r="M61">
            <v>33712239.540410005</v>
          </cell>
          <cell r="N61">
            <v>37561974.818430014</v>
          </cell>
          <cell r="O61">
            <v>40283334.891730011</v>
          </cell>
          <cell r="P61">
            <v>43876020.195650011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5420569</v>
          </cell>
          <cell r="F66">
            <v>10378108</v>
          </cell>
          <cell r="G66">
            <v>15408711</v>
          </cell>
          <cell r="H66">
            <v>18965708</v>
          </cell>
          <cell r="I66">
            <v>22245097</v>
          </cell>
          <cell r="J66">
            <v>25400382</v>
          </cell>
          <cell r="K66">
            <v>28609386</v>
          </cell>
          <cell r="L66">
            <v>31787964</v>
          </cell>
          <cell r="M66">
            <v>34906243</v>
          </cell>
          <cell r="N66">
            <v>38853218</v>
          </cell>
          <cell r="O66">
            <v>43369911</v>
          </cell>
          <cell r="P66">
            <v>47394386</v>
          </cell>
        </row>
        <row r="67">
          <cell r="A67">
            <v>64</v>
          </cell>
          <cell r="B67" t="str">
            <v>Less Sales to DE/MD/SP</v>
          </cell>
          <cell r="E67">
            <v>-1810534</v>
          </cell>
          <cell r="F67">
            <v>-3498727</v>
          </cell>
          <cell r="G67">
            <v>-4944152</v>
          </cell>
          <cell r="H67">
            <v>-5709062</v>
          </cell>
          <cell r="I67">
            <v>-6252001</v>
          </cell>
          <cell r="J67">
            <v>-6748695</v>
          </cell>
          <cell r="K67">
            <v>-7215325</v>
          </cell>
          <cell r="L67">
            <v>-7701872</v>
          </cell>
          <cell r="M67">
            <v>-8253218</v>
          </cell>
          <cell r="N67">
            <v>-8950315</v>
          </cell>
          <cell r="O67">
            <v>-10050092</v>
          </cell>
          <cell r="P67">
            <v>-11431269</v>
          </cell>
        </row>
        <row r="68">
          <cell r="A68">
            <v>65</v>
          </cell>
          <cell r="E68">
            <v>3610035</v>
          </cell>
          <cell r="F68">
            <v>6879381</v>
          </cell>
          <cell r="G68">
            <v>10464559</v>
          </cell>
          <cell r="H68">
            <v>13256646</v>
          </cell>
          <cell r="I68">
            <v>15993096</v>
          </cell>
          <cell r="J68">
            <v>18651687</v>
          </cell>
          <cell r="K68">
            <v>21394061</v>
          </cell>
          <cell r="L68">
            <v>24086092</v>
          </cell>
          <cell r="M68">
            <v>26653025</v>
          </cell>
          <cell r="N68">
            <v>29902903</v>
          </cell>
          <cell r="O68">
            <v>33319819</v>
          </cell>
          <cell r="P68">
            <v>35963117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5610288.9149999991</v>
          </cell>
          <cell r="F70">
            <v>10741341.779999997</v>
          </cell>
          <cell r="G70">
            <v>15948015.884999998</v>
          </cell>
          <cell r="H70">
            <v>19629507.779999997</v>
          </cell>
          <cell r="I70">
            <v>23023675.394999996</v>
          </cell>
          <cell r="J70">
            <v>26289395.369999997</v>
          </cell>
          <cell r="K70">
            <v>29610714.509999998</v>
          </cell>
          <cell r="L70">
            <v>32900542.739999998</v>
          </cell>
          <cell r="M70">
            <v>36127961.504999995</v>
          </cell>
          <cell r="N70">
            <v>40213080.629999995</v>
          </cell>
          <cell r="O70">
            <v>44887857.884999998</v>
          </cell>
          <cell r="P70">
            <v>49053189.509999998</v>
          </cell>
        </row>
        <row r="71">
          <cell r="A71">
            <v>68</v>
          </cell>
          <cell r="B71" t="str">
            <v>Less Sales to DE/MD/SP</v>
          </cell>
          <cell r="E71">
            <v>-1873902.69</v>
          </cell>
          <cell r="F71">
            <v>-3621182.4449999998</v>
          </cell>
          <cell r="G71">
            <v>-5117197.32</v>
          </cell>
          <cell r="H71">
            <v>-5908879.1699999999</v>
          </cell>
          <cell r="I71">
            <v>-6470821.0350000001</v>
          </cell>
          <cell r="J71">
            <v>-6984899.3250000002</v>
          </cell>
          <cell r="K71">
            <v>-7467861.375</v>
          </cell>
          <cell r="L71">
            <v>-7971437.5199999996</v>
          </cell>
          <cell r="M71">
            <v>-8542080.629999999</v>
          </cell>
          <cell r="N71">
            <v>-9263576.0249999985</v>
          </cell>
          <cell r="O71">
            <v>-10401845.219999999</v>
          </cell>
          <cell r="P71">
            <v>-11831363.414999999</v>
          </cell>
        </row>
      </sheetData>
      <sheetData sheetId="15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9535</v>
          </cell>
          <cell r="E5">
            <v>9586</v>
          </cell>
          <cell r="F5">
            <v>9582</v>
          </cell>
          <cell r="G5">
            <v>9569</v>
          </cell>
          <cell r="H5">
            <v>9540</v>
          </cell>
          <cell r="I5">
            <v>9521</v>
          </cell>
          <cell r="J5">
            <v>9526</v>
          </cell>
          <cell r="K5">
            <v>9525</v>
          </cell>
          <cell r="L5">
            <v>9507</v>
          </cell>
          <cell r="M5">
            <v>9488</v>
          </cell>
          <cell r="N5">
            <v>9495</v>
          </cell>
          <cell r="O5">
            <v>9522</v>
          </cell>
          <cell r="P5">
            <v>9562</v>
          </cell>
          <cell r="T5">
            <v>2</v>
          </cell>
          <cell r="U5" t="str">
            <v>Residential</v>
          </cell>
          <cell r="V5">
            <v>9649</v>
          </cell>
          <cell r="W5">
            <v>115783</v>
          </cell>
          <cell r="X5">
            <v>9803</v>
          </cell>
          <cell r="Y5">
            <v>9772</v>
          </cell>
          <cell r="Z5">
            <v>9765</v>
          </cell>
          <cell r="AA5">
            <v>9697</v>
          </cell>
          <cell r="AB5">
            <v>9651</v>
          </cell>
          <cell r="AC5">
            <v>9626</v>
          </cell>
          <cell r="AD5">
            <v>9592</v>
          </cell>
          <cell r="AE5">
            <v>9589</v>
          </cell>
          <cell r="AF5">
            <v>9570</v>
          </cell>
          <cell r="AG5">
            <v>9572</v>
          </cell>
          <cell r="AH5">
            <v>9566</v>
          </cell>
          <cell r="AI5">
            <v>9580</v>
          </cell>
        </row>
        <row r="6">
          <cell r="A6">
            <v>3</v>
          </cell>
          <cell r="B6" t="str">
            <v>Commercial</v>
          </cell>
          <cell r="D6">
            <v>1062</v>
          </cell>
          <cell r="E6">
            <v>1038</v>
          </cell>
          <cell r="F6">
            <v>1040</v>
          </cell>
          <cell r="G6">
            <v>1036</v>
          </cell>
          <cell r="H6">
            <v>1049</v>
          </cell>
          <cell r="I6">
            <v>1067</v>
          </cell>
          <cell r="J6">
            <v>1085</v>
          </cell>
          <cell r="K6">
            <v>1087</v>
          </cell>
          <cell r="L6">
            <v>1089</v>
          </cell>
          <cell r="M6">
            <v>1092</v>
          </cell>
          <cell r="N6">
            <v>1081</v>
          </cell>
          <cell r="O6">
            <v>1048</v>
          </cell>
          <cell r="P6">
            <v>1029</v>
          </cell>
          <cell r="T6">
            <v>3</v>
          </cell>
          <cell r="U6" t="str">
            <v>Commercial</v>
          </cell>
          <cell r="V6">
            <v>1069</v>
          </cell>
          <cell r="W6">
            <v>12822</v>
          </cell>
          <cell r="X6">
            <v>1056</v>
          </cell>
          <cell r="Y6">
            <v>1052</v>
          </cell>
          <cell r="Z6">
            <v>1049</v>
          </cell>
          <cell r="AA6">
            <v>1050</v>
          </cell>
          <cell r="AB6">
            <v>1081</v>
          </cell>
          <cell r="AC6">
            <v>1089</v>
          </cell>
          <cell r="AD6">
            <v>1096</v>
          </cell>
          <cell r="AE6">
            <v>1095</v>
          </cell>
          <cell r="AF6">
            <v>1094</v>
          </cell>
          <cell r="AG6">
            <v>1078</v>
          </cell>
          <cell r="AH6">
            <v>1048</v>
          </cell>
          <cell r="AI6">
            <v>1034</v>
          </cell>
        </row>
        <row r="7">
          <cell r="A7">
            <v>4</v>
          </cell>
          <cell r="B7" t="str">
            <v xml:space="preserve">Industrial </v>
          </cell>
          <cell r="D7">
            <v>5</v>
          </cell>
          <cell r="E7">
            <v>4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11</v>
          </cell>
          <cell r="T7">
            <v>4</v>
          </cell>
          <cell r="U7" t="str">
            <v xml:space="preserve">Industrial </v>
          </cell>
          <cell r="V7">
            <v>4</v>
          </cell>
          <cell r="W7">
            <v>51</v>
          </cell>
          <cell r="X7">
            <v>4</v>
          </cell>
          <cell r="Y7">
            <v>4</v>
          </cell>
          <cell r="Z7">
            <v>4</v>
          </cell>
          <cell r="AA7">
            <v>4</v>
          </cell>
          <cell r="AB7">
            <v>4</v>
          </cell>
          <cell r="AC7">
            <v>4</v>
          </cell>
          <cell r="AD7">
            <v>4</v>
          </cell>
          <cell r="AE7">
            <v>5</v>
          </cell>
          <cell r="AF7">
            <v>5</v>
          </cell>
          <cell r="AG7">
            <v>5</v>
          </cell>
          <cell r="AH7">
            <v>4</v>
          </cell>
          <cell r="AI7">
            <v>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10602</v>
          </cell>
          <cell r="E9">
            <v>10628</v>
          </cell>
          <cell r="F9">
            <v>10626</v>
          </cell>
          <cell r="G9">
            <v>10609</v>
          </cell>
          <cell r="H9">
            <v>10593</v>
          </cell>
          <cell r="I9">
            <v>10592</v>
          </cell>
          <cell r="J9">
            <v>10615</v>
          </cell>
          <cell r="K9">
            <v>10616</v>
          </cell>
          <cell r="L9">
            <v>10601</v>
          </cell>
          <cell r="M9">
            <v>10585</v>
          </cell>
          <cell r="N9">
            <v>10581</v>
          </cell>
          <cell r="O9">
            <v>10575</v>
          </cell>
          <cell r="P9">
            <v>10602</v>
          </cell>
          <cell r="T9">
            <v>6</v>
          </cell>
          <cell r="U9" t="str">
            <v>Total customers</v>
          </cell>
          <cell r="V9">
            <v>10722</v>
          </cell>
          <cell r="W9">
            <v>128656</v>
          </cell>
          <cell r="X9">
            <v>10863</v>
          </cell>
          <cell r="Y9">
            <v>10828</v>
          </cell>
          <cell r="Z9">
            <v>10818</v>
          </cell>
          <cell r="AA9">
            <v>10751</v>
          </cell>
          <cell r="AB9">
            <v>10736</v>
          </cell>
          <cell r="AC9">
            <v>10719</v>
          </cell>
          <cell r="AD9">
            <v>10692</v>
          </cell>
          <cell r="AE9">
            <v>10689</v>
          </cell>
          <cell r="AF9">
            <v>10669</v>
          </cell>
          <cell r="AG9">
            <v>10655</v>
          </cell>
          <cell r="AH9">
            <v>10618</v>
          </cell>
          <cell r="AI9">
            <v>10618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- 2016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- 2015 -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223336</v>
          </cell>
          <cell r="E12">
            <v>33977</v>
          </cell>
          <cell r="F12">
            <v>45833</v>
          </cell>
          <cell r="G12">
            <v>33310</v>
          </cell>
          <cell r="H12">
            <v>20813</v>
          </cell>
          <cell r="I12">
            <v>13245</v>
          </cell>
          <cell r="J12">
            <v>7321</v>
          </cell>
          <cell r="K12">
            <v>6399</v>
          </cell>
          <cell r="L12">
            <v>5557</v>
          </cell>
          <cell r="M12">
            <v>5223</v>
          </cell>
          <cell r="N12">
            <v>6004</v>
          </cell>
          <cell r="O12">
            <v>13619</v>
          </cell>
          <cell r="P12">
            <v>32035</v>
          </cell>
          <cell r="T12">
            <v>9</v>
          </cell>
          <cell r="U12" t="str">
            <v>Residential</v>
          </cell>
          <cell r="W12">
            <v>269550</v>
          </cell>
          <cell r="X12">
            <v>50745</v>
          </cell>
          <cell r="Y12">
            <v>64437</v>
          </cell>
          <cell r="Z12">
            <v>56807</v>
          </cell>
          <cell r="AA12">
            <v>26054</v>
          </cell>
          <cell r="AB12">
            <v>10898</v>
          </cell>
          <cell r="AC12">
            <v>6341</v>
          </cell>
          <cell r="AD12">
            <v>5807</v>
          </cell>
          <cell r="AE12">
            <v>6088</v>
          </cell>
          <cell r="AF12">
            <v>5496</v>
          </cell>
          <cell r="AG12">
            <v>6701</v>
          </cell>
          <cell r="AH12">
            <v>11211</v>
          </cell>
          <cell r="AI12">
            <v>18965</v>
          </cell>
        </row>
        <row r="13">
          <cell r="A13">
            <v>10</v>
          </cell>
          <cell r="B13" t="str">
            <v>Commercial</v>
          </cell>
          <cell r="D13">
            <v>419965</v>
          </cell>
          <cell r="E13">
            <v>33991</v>
          </cell>
          <cell r="F13">
            <v>40227</v>
          </cell>
          <cell r="G13">
            <v>40760</v>
          </cell>
          <cell r="H13">
            <v>34365</v>
          </cell>
          <cell r="I13">
            <v>30403</v>
          </cell>
          <cell r="J13">
            <v>32496</v>
          </cell>
          <cell r="K13">
            <v>39159</v>
          </cell>
          <cell r="L13">
            <v>39543</v>
          </cell>
          <cell r="M13">
            <v>39138</v>
          </cell>
          <cell r="N13">
            <v>33889</v>
          </cell>
          <cell r="O13">
            <v>28649</v>
          </cell>
          <cell r="P13">
            <v>27345</v>
          </cell>
          <cell r="T13">
            <v>10</v>
          </cell>
          <cell r="U13" t="str">
            <v>Commercial</v>
          </cell>
          <cell r="W13">
            <v>447521</v>
          </cell>
          <cell r="X13">
            <v>42299</v>
          </cell>
          <cell r="Y13">
            <v>46024</v>
          </cell>
          <cell r="Z13">
            <v>50561</v>
          </cell>
          <cell r="AA13">
            <v>36316</v>
          </cell>
          <cell r="AB13">
            <v>30310</v>
          </cell>
          <cell r="AC13">
            <v>32679</v>
          </cell>
          <cell r="AD13">
            <v>39750</v>
          </cell>
          <cell r="AE13">
            <v>44573</v>
          </cell>
          <cell r="AF13">
            <v>39127</v>
          </cell>
          <cell r="AG13">
            <v>31764</v>
          </cell>
          <cell r="AH13">
            <v>25583</v>
          </cell>
          <cell r="AI13">
            <v>28535</v>
          </cell>
        </row>
        <row r="14">
          <cell r="A14">
            <v>11</v>
          </cell>
          <cell r="B14" t="str">
            <v xml:space="preserve">Industrial </v>
          </cell>
          <cell r="D14">
            <v>96196</v>
          </cell>
          <cell r="E14">
            <v>7875</v>
          </cell>
          <cell r="F14">
            <v>5524</v>
          </cell>
          <cell r="G14">
            <v>4044</v>
          </cell>
          <cell r="H14">
            <v>5796</v>
          </cell>
          <cell r="I14">
            <v>8663</v>
          </cell>
          <cell r="J14">
            <v>8779</v>
          </cell>
          <cell r="K14">
            <v>5484</v>
          </cell>
          <cell r="L14">
            <v>5321</v>
          </cell>
          <cell r="M14">
            <v>10258</v>
          </cell>
          <cell r="N14">
            <v>10976</v>
          </cell>
          <cell r="O14">
            <v>5231</v>
          </cell>
          <cell r="P14">
            <v>18245</v>
          </cell>
          <cell r="T14">
            <v>11</v>
          </cell>
          <cell r="U14" t="str">
            <v xml:space="preserve">Industrial </v>
          </cell>
          <cell r="W14">
            <v>74721</v>
          </cell>
          <cell r="X14">
            <v>4734</v>
          </cell>
          <cell r="Y14">
            <v>4152</v>
          </cell>
          <cell r="Z14">
            <v>4719</v>
          </cell>
          <cell r="AA14">
            <v>7199</v>
          </cell>
          <cell r="AB14">
            <v>6913</v>
          </cell>
          <cell r="AC14">
            <v>7749</v>
          </cell>
          <cell r="AD14">
            <v>5988</v>
          </cell>
          <cell r="AE14">
            <v>5822</v>
          </cell>
          <cell r="AF14">
            <v>8904</v>
          </cell>
          <cell r="AG14">
            <v>6577</v>
          </cell>
          <cell r="AH14">
            <v>5520</v>
          </cell>
          <cell r="AI14">
            <v>6444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739497</v>
          </cell>
          <cell r="E16">
            <v>75843</v>
          </cell>
          <cell r="F16">
            <v>91584</v>
          </cell>
          <cell r="G16">
            <v>78114</v>
          </cell>
          <cell r="H16">
            <v>60974</v>
          </cell>
          <cell r="I16">
            <v>52311</v>
          </cell>
          <cell r="J16">
            <v>48596</v>
          </cell>
          <cell r="K16">
            <v>51042</v>
          </cell>
          <cell r="L16">
            <v>50421</v>
          </cell>
          <cell r="M16">
            <v>54619</v>
          </cell>
          <cell r="N16">
            <v>50869</v>
          </cell>
          <cell r="O16">
            <v>47499</v>
          </cell>
          <cell r="P16">
            <v>77625</v>
          </cell>
          <cell r="T16">
            <v>13</v>
          </cell>
          <cell r="U16" t="str">
            <v>Total Deliveries</v>
          </cell>
          <cell r="W16">
            <v>791792</v>
          </cell>
          <cell r="X16">
            <v>97778</v>
          </cell>
          <cell r="Y16">
            <v>114613</v>
          </cell>
          <cell r="Z16">
            <v>112087</v>
          </cell>
          <cell r="AA16">
            <v>69569</v>
          </cell>
          <cell r="AB16">
            <v>48121</v>
          </cell>
          <cell r="AC16">
            <v>46769</v>
          </cell>
          <cell r="AD16">
            <v>51545</v>
          </cell>
          <cell r="AE16">
            <v>56483</v>
          </cell>
          <cell r="AF16">
            <v>53527</v>
          </cell>
          <cell r="AG16">
            <v>45042</v>
          </cell>
          <cell r="AH16">
            <v>42314</v>
          </cell>
          <cell r="AI16">
            <v>53944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1.0596099999999999</v>
          </cell>
          <cell r="F18">
            <v>1.05722</v>
          </cell>
          <cell r="G18">
            <v>1.0540400000000001</v>
          </cell>
          <cell r="H18">
            <v>1.0559400000000001</v>
          </cell>
          <cell r="I18">
            <v>1.0512300000000001</v>
          </cell>
          <cell r="J18">
            <v>1.0520799999999999</v>
          </cell>
          <cell r="K18">
            <v>1.0566500000000001</v>
          </cell>
          <cell r="L18">
            <v>1.05559</v>
          </cell>
          <cell r="M18">
            <v>1.0542199999999999</v>
          </cell>
          <cell r="N18">
            <v>1.05263</v>
          </cell>
          <cell r="O18">
            <v>1.05226</v>
          </cell>
          <cell r="P18">
            <v>1.05254</v>
          </cell>
          <cell r="T18">
            <v>15</v>
          </cell>
          <cell r="X18">
            <v>1.06185</v>
          </cell>
          <cell r="Y18">
            <v>1.0644100000000001</v>
          </cell>
          <cell r="Z18">
            <v>1.0635699999999999</v>
          </cell>
          <cell r="AA18">
            <v>1.05844</v>
          </cell>
          <cell r="AB18">
            <v>1.05888</v>
          </cell>
          <cell r="AC18">
            <v>1.0630299999999999</v>
          </cell>
          <cell r="AD18">
            <v>1.05836</v>
          </cell>
          <cell r="AE18">
            <v>1.0565500000000001</v>
          </cell>
          <cell r="AF18">
            <v>1.05507</v>
          </cell>
          <cell r="AG18">
            <v>1.0595300000000001</v>
          </cell>
          <cell r="AH18">
            <v>1.05454</v>
          </cell>
          <cell r="AI18">
            <v>1.05528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- 2016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- 2015 -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235674</v>
          </cell>
          <cell r="E21">
            <v>36002</v>
          </cell>
          <cell r="F21">
            <v>48456</v>
          </cell>
          <cell r="G21">
            <v>35110</v>
          </cell>
          <cell r="H21">
            <v>21977</v>
          </cell>
          <cell r="I21">
            <v>13924</v>
          </cell>
          <cell r="J21">
            <v>7702</v>
          </cell>
          <cell r="K21">
            <v>6762</v>
          </cell>
          <cell r="L21">
            <v>5866</v>
          </cell>
          <cell r="M21">
            <v>5506</v>
          </cell>
          <cell r="N21">
            <v>6320</v>
          </cell>
          <cell r="O21">
            <v>14331</v>
          </cell>
          <cell r="P21">
            <v>33718</v>
          </cell>
          <cell r="T21">
            <v>18</v>
          </cell>
          <cell r="U21" t="str">
            <v>Residential</v>
          </cell>
          <cell r="W21">
            <v>286059</v>
          </cell>
          <cell r="X21">
            <v>53884</v>
          </cell>
          <cell r="Y21">
            <v>68587</v>
          </cell>
          <cell r="Z21">
            <v>60418</v>
          </cell>
          <cell r="AA21">
            <v>27577</v>
          </cell>
          <cell r="AB21">
            <v>11540</v>
          </cell>
          <cell r="AC21">
            <v>6741</v>
          </cell>
          <cell r="AD21">
            <v>6146</v>
          </cell>
          <cell r="AE21">
            <v>6432</v>
          </cell>
          <cell r="AF21">
            <v>5799</v>
          </cell>
          <cell r="AG21">
            <v>7100</v>
          </cell>
          <cell r="AH21">
            <v>11822</v>
          </cell>
          <cell r="AI21">
            <v>20013</v>
          </cell>
        </row>
        <row r="22">
          <cell r="A22">
            <v>19</v>
          </cell>
          <cell r="B22" t="str">
            <v>Commercial</v>
          </cell>
          <cell r="D22">
            <v>442924</v>
          </cell>
          <cell r="E22">
            <v>36017</v>
          </cell>
          <cell r="F22">
            <v>42529</v>
          </cell>
          <cell r="G22">
            <v>42963</v>
          </cell>
          <cell r="H22">
            <v>36287</v>
          </cell>
          <cell r="I22">
            <v>31961</v>
          </cell>
          <cell r="J22">
            <v>34188</v>
          </cell>
          <cell r="K22">
            <v>41377</v>
          </cell>
          <cell r="L22">
            <v>41741</v>
          </cell>
          <cell r="M22">
            <v>41260</v>
          </cell>
          <cell r="N22">
            <v>35673</v>
          </cell>
          <cell r="O22">
            <v>30146</v>
          </cell>
          <cell r="P22">
            <v>28782</v>
          </cell>
          <cell r="T22">
            <v>19</v>
          </cell>
          <cell r="U22" t="str">
            <v>Commercial</v>
          </cell>
          <cell r="W22">
            <v>474141</v>
          </cell>
          <cell r="X22">
            <v>44915</v>
          </cell>
          <cell r="Y22">
            <v>48988</v>
          </cell>
          <cell r="Z22">
            <v>53775</v>
          </cell>
          <cell r="AA22">
            <v>38438</v>
          </cell>
          <cell r="AB22">
            <v>32095</v>
          </cell>
          <cell r="AC22">
            <v>34739</v>
          </cell>
          <cell r="AD22">
            <v>42070</v>
          </cell>
          <cell r="AE22">
            <v>47094</v>
          </cell>
          <cell r="AF22">
            <v>41282</v>
          </cell>
          <cell r="AG22">
            <v>33655</v>
          </cell>
          <cell r="AH22">
            <v>26978</v>
          </cell>
          <cell r="AI22">
            <v>30112</v>
          </cell>
        </row>
        <row r="23">
          <cell r="A23">
            <v>20</v>
          </cell>
          <cell r="B23" t="str">
            <v xml:space="preserve">Industrial </v>
          </cell>
          <cell r="D23">
            <v>101398</v>
          </cell>
          <cell r="E23">
            <v>8344</v>
          </cell>
          <cell r="F23">
            <v>5840</v>
          </cell>
          <cell r="G23">
            <v>4263</v>
          </cell>
          <cell r="H23">
            <v>6120</v>
          </cell>
          <cell r="I23">
            <v>9107</v>
          </cell>
          <cell r="J23">
            <v>9236</v>
          </cell>
          <cell r="K23">
            <v>5795</v>
          </cell>
          <cell r="L23">
            <v>5617</v>
          </cell>
          <cell r="M23">
            <v>10814</v>
          </cell>
          <cell r="N23">
            <v>11554</v>
          </cell>
          <cell r="O23">
            <v>5504</v>
          </cell>
          <cell r="P23">
            <v>19204</v>
          </cell>
          <cell r="T23">
            <v>20</v>
          </cell>
          <cell r="U23" t="str">
            <v xml:space="preserve">Industrial </v>
          </cell>
          <cell r="W23">
            <v>79114</v>
          </cell>
          <cell r="X23">
            <v>5027</v>
          </cell>
          <cell r="Y23">
            <v>4419</v>
          </cell>
          <cell r="Z23">
            <v>5019</v>
          </cell>
          <cell r="AA23">
            <v>7620</v>
          </cell>
          <cell r="AB23">
            <v>7320</v>
          </cell>
          <cell r="AC23">
            <v>8237</v>
          </cell>
          <cell r="AD23">
            <v>6337</v>
          </cell>
          <cell r="AE23">
            <v>6151</v>
          </cell>
          <cell r="AF23">
            <v>9394</v>
          </cell>
          <cell r="AG23">
            <v>6969</v>
          </cell>
          <cell r="AH23">
            <v>5821</v>
          </cell>
          <cell r="AI23">
            <v>6800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779996</v>
          </cell>
          <cell r="E25">
            <v>80363</v>
          </cell>
          <cell r="F25">
            <v>96825</v>
          </cell>
          <cell r="G25">
            <v>82336</v>
          </cell>
          <cell r="H25">
            <v>64384</v>
          </cell>
          <cell r="I25">
            <v>54992</v>
          </cell>
          <cell r="J25">
            <v>51126</v>
          </cell>
          <cell r="K25">
            <v>53934</v>
          </cell>
          <cell r="L25">
            <v>53224</v>
          </cell>
          <cell r="M25">
            <v>57580</v>
          </cell>
          <cell r="N25">
            <v>53547</v>
          </cell>
          <cell r="O25">
            <v>49981</v>
          </cell>
          <cell r="P25">
            <v>81704</v>
          </cell>
          <cell r="T25">
            <v>22</v>
          </cell>
          <cell r="U25" t="str">
            <v>Total Deliveries</v>
          </cell>
          <cell r="W25">
            <v>839314</v>
          </cell>
          <cell r="X25">
            <v>103826</v>
          </cell>
          <cell r="Y25">
            <v>121994</v>
          </cell>
          <cell r="Z25">
            <v>119212</v>
          </cell>
          <cell r="AA25">
            <v>73635</v>
          </cell>
          <cell r="AB25">
            <v>50955</v>
          </cell>
          <cell r="AC25">
            <v>49717</v>
          </cell>
          <cell r="AD25">
            <v>54553</v>
          </cell>
          <cell r="AE25">
            <v>59677</v>
          </cell>
          <cell r="AF25">
            <v>56475</v>
          </cell>
          <cell r="AG25">
            <v>47724</v>
          </cell>
          <cell r="AH25">
            <v>44621</v>
          </cell>
          <cell r="AI25">
            <v>56925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10672</v>
          </cell>
          <cell r="F28">
            <v>10654</v>
          </cell>
          <cell r="G28">
            <v>10685</v>
          </cell>
          <cell r="H28">
            <v>10668</v>
          </cell>
          <cell r="I28">
            <v>10703</v>
          </cell>
          <cell r="J28">
            <v>10717</v>
          </cell>
          <cell r="K28">
            <v>10703</v>
          </cell>
          <cell r="L28">
            <v>10718</v>
          </cell>
          <cell r="M28">
            <v>10713</v>
          </cell>
          <cell r="N28">
            <v>10699</v>
          </cell>
          <cell r="O28">
            <v>10668</v>
          </cell>
          <cell r="P28">
            <v>10684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96181</v>
          </cell>
          <cell r="F29">
            <v>109116</v>
          </cell>
          <cell r="G29">
            <v>98721</v>
          </cell>
          <cell r="H29">
            <v>71868</v>
          </cell>
          <cell r="I29">
            <v>53490</v>
          </cell>
          <cell r="J29">
            <v>51036</v>
          </cell>
          <cell r="K29">
            <v>47987</v>
          </cell>
          <cell r="L29">
            <v>55987</v>
          </cell>
          <cell r="M29">
            <v>56244</v>
          </cell>
          <cell r="N29">
            <v>55575</v>
          </cell>
          <cell r="O29">
            <v>57783</v>
          </cell>
          <cell r="P29">
            <v>76768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99547.334999999992</v>
          </cell>
          <cell r="F30">
            <v>112935.06</v>
          </cell>
          <cell r="G30">
            <v>102176.23499999999</v>
          </cell>
          <cell r="H30">
            <v>74383.37999999999</v>
          </cell>
          <cell r="I30">
            <v>55362.149999999994</v>
          </cell>
          <cell r="J30">
            <v>52822.259999999995</v>
          </cell>
          <cell r="K30">
            <v>49666.544999999998</v>
          </cell>
          <cell r="L30">
            <v>57946.544999999998</v>
          </cell>
          <cell r="M30">
            <v>58212.539999999994</v>
          </cell>
          <cell r="N30">
            <v>57520.124999999993</v>
          </cell>
          <cell r="O30">
            <v>59805.404999999999</v>
          </cell>
          <cell r="P30">
            <v>79454.87999999999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9586</v>
          </cell>
          <cell r="F34">
            <v>9584</v>
          </cell>
          <cell r="G34">
            <v>9579</v>
          </cell>
          <cell r="H34">
            <v>9569</v>
          </cell>
          <cell r="I34">
            <v>9560</v>
          </cell>
          <cell r="J34">
            <v>9554</v>
          </cell>
          <cell r="K34">
            <v>9550</v>
          </cell>
          <cell r="L34">
            <v>9545</v>
          </cell>
          <cell r="M34">
            <v>9538</v>
          </cell>
          <cell r="N34">
            <v>9534</v>
          </cell>
          <cell r="O34">
            <v>9533</v>
          </cell>
          <cell r="P34">
            <v>9535</v>
          </cell>
          <cell r="T34">
            <v>31</v>
          </cell>
          <cell r="U34" t="str">
            <v>Residential</v>
          </cell>
          <cell r="X34">
            <v>9803</v>
          </cell>
          <cell r="Y34">
            <v>9788</v>
          </cell>
          <cell r="Z34">
            <v>9780</v>
          </cell>
          <cell r="AA34">
            <v>9759</v>
          </cell>
          <cell r="AB34">
            <v>9738</v>
          </cell>
          <cell r="AC34">
            <v>9719</v>
          </cell>
          <cell r="AD34">
            <v>9701</v>
          </cell>
          <cell r="AE34">
            <v>9687</v>
          </cell>
          <cell r="AF34">
            <v>9674</v>
          </cell>
          <cell r="AG34">
            <v>9664</v>
          </cell>
          <cell r="AH34">
            <v>9655</v>
          </cell>
          <cell r="AI34">
            <v>9649</v>
          </cell>
        </row>
        <row r="35">
          <cell r="A35">
            <v>32</v>
          </cell>
          <cell r="B35" t="str">
            <v>Commercial</v>
          </cell>
          <cell r="E35">
            <v>1038</v>
          </cell>
          <cell r="F35">
            <v>1039</v>
          </cell>
          <cell r="G35">
            <v>1038</v>
          </cell>
          <cell r="H35">
            <v>1041</v>
          </cell>
          <cell r="I35">
            <v>1046</v>
          </cell>
          <cell r="J35">
            <v>1053</v>
          </cell>
          <cell r="K35">
            <v>1057</v>
          </cell>
          <cell r="L35">
            <v>1061</v>
          </cell>
          <cell r="M35">
            <v>1065</v>
          </cell>
          <cell r="N35">
            <v>1066</v>
          </cell>
          <cell r="O35">
            <v>1065</v>
          </cell>
          <cell r="P35">
            <v>1062</v>
          </cell>
          <cell r="T35">
            <v>32</v>
          </cell>
          <cell r="U35" t="str">
            <v>Commercial</v>
          </cell>
          <cell r="X35">
            <v>1056</v>
          </cell>
          <cell r="Y35">
            <v>1054</v>
          </cell>
          <cell r="Z35">
            <v>1052</v>
          </cell>
          <cell r="AA35">
            <v>1052</v>
          </cell>
          <cell r="AB35">
            <v>1058</v>
          </cell>
          <cell r="AC35">
            <v>1063</v>
          </cell>
          <cell r="AD35">
            <v>1068</v>
          </cell>
          <cell r="AE35">
            <v>1071</v>
          </cell>
          <cell r="AF35">
            <v>1074</v>
          </cell>
          <cell r="AG35">
            <v>1074</v>
          </cell>
          <cell r="AH35">
            <v>1072</v>
          </cell>
          <cell r="AI35">
            <v>1069</v>
          </cell>
        </row>
        <row r="36">
          <cell r="A36">
            <v>33</v>
          </cell>
          <cell r="B36" t="str">
            <v xml:space="preserve">Industrial </v>
          </cell>
          <cell r="E36">
            <v>4</v>
          </cell>
          <cell r="F36">
            <v>4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5</v>
          </cell>
          <cell r="T36">
            <v>33</v>
          </cell>
          <cell r="U36" t="str">
            <v xml:space="preserve">Industrial </v>
          </cell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4</v>
          </cell>
          <cell r="AI36">
            <v>4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10628</v>
          </cell>
          <cell r="F38">
            <v>10627</v>
          </cell>
          <cell r="G38">
            <v>10621</v>
          </cell>
          <cell r="H38">
            <v>10614</v>
          </cell>
          <cell r="I38">
            <v>10610</v>
          </cell>
          <cell r="J38">
            <v>10611</v>
          </cell>
          <cell r="K38">
            <v>10611</v>
          </cell>
          <cell r="L38">
            <v>10610</v>
          </cell>
          <cell r="M38">
            <v>10607</v>
          </cell>
          <cell r="N38">
            <v>10604</v>
          </cell>
          <cell r="O38">
            <v>10602</v>
          </cell>
          <cell r="P38">
            <v>10602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10863</v>
          </cell>
          <cell r="Y38">
            <v>10846</v>
          </cell>
          <cell r="Z38">
            <v>10836</v>
          </cell>
          <cell r="AA38">
            <v>10815</v>
          </cell>
          <cell r="AB38">
            <v>10800</v>
          </cell>
          <cell r="AC38">
            <v>10786</v>
          </cell>
          <cell r="AD38">
            <v>10773</v>
          </cell>
          <cell r="AE38">
            <v>10762</v>
          </cell>
          <cell r="AF38">
            <v>10752</v>
          </cell>
          <cell r="AG38">
            <v>10742</v>
          </cell>
          <cell r="AH38">
            <v>10731</v>
          </cell>
          <cell r="AI38">
            <v>10722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33977</v>
          </cell>
          <cell r="F41">
            <v>79810</v>
          </cell>
          <cell r="G41">
            <v>113120</v>
          </cell>
          <cell r="H41">
            <v>133933</v>
          </cell>
          <cell r="I41">
            <v>147178</v>
          </cell>
          <cell r="J41">
            <v>154499</v>
          </cell>
          <cell r="K41">
            <v>160898</v>
          </cell>
          <cell r="L41">
            <v>166455</v>
          </cell>
          <cell r="M41">
            <v>171678</v>
          </cell>
          <cell r="N41">
            <v>177682</v>
          </cell>
          <cell r="O41">
            <v>191301</v>
          </cell>
          <cell r="P41">
            <v>223336</v>
          </cell>
          <cell r="T41">
            <v>38</v>
          </cell>
          <cell r="U41" t="str">
            <v>Residential</v>
          </cell>
          <cell r="X41">
            <v>50745</v>
          </cell>
          <cell r="Y41">
            <v>115182</v>
          </cell>
          <cell r="Z41">
            <v>171989</v>
          </cell>
          <cell r="AA41">
            <v>198043</v>
          </cell>
          <cell r="AB41">
            <v>208941</v>
          </cell>
          <cell r="AC41">
            <v>215282</v>
          </cell>
          <cell r="AD41">
            <v>221089</v>
          </cell>
          <cell r="AE41">
            <v>227177</v>
          </cell>
          <cell r="AF41">
            <v>232673</v>
          </cell>
          <cell r="AG41">
            <v>239374</v>
          </cell>
          <cell r="AH41">
            <v>250585</v>
          </cell>
          <cell r="AI41">
            <v>269550</v>
          </cell>
        </row>
        <row r="42">
          <cell r="A42">
            <v>39</v>
          </cell>
          <cell r="B42" t="str">
            <v>Commercial</v>
          </cell>
          <cell r="E42">
            <v>33991</v>
          </cell>
          <cell r="F42">
            <v>74218</v>
          </cell>
          <cell r="G42">
            <v>114978</v>
          </cell>
          <cell r="H42">
            <v>149343</v>
          </cell>
          <cell r="I42">
            <v>179746</v>
          </cell>
          <cell r="J42">
            <v>212242</v>
          </cell>
          <cell r="K42">
            <v>251401</v>
          </cell>
          <cell r="L42">
            <v>290944</v>
          </cell>
          <cell r="M42">
            <v>330082</v>
          </cell>
          <cell r="N42">
            <v>363971</v>
          </cell>
          <cell r="O42">
            <v>392620</v>
          </cell>
          <cell r="P42">
            <v>419965</v>
          </cell>
          <cell r="T42">
            <v>39</v>
          </cell>
          <cell r="U42" t="str">
            <v>Commercial</v>
          </cell>
          <cell r="X42">
            <v>42299</v>
          </cell>
          <cell r="Y42">
            <v>88323</v>
          </cell>
          <cell r="Z42">
            <v>138884</v>
          </cell>
          <cell r="AA42">
            <v>175200</v>
          </cell>
          <cell r="AB42">
            <v>205510</v>
          </cell>
          <cell r="AC42">
            <v>238189</v>
          </cell>
          <cell r="AD42">
            <v>277939</v>
          </cell>
          <cell r="AE42">
            <v>322512</v>
          </cell>
          <cell r="AF42">
            <v>361639</v>
          </cell>
          <cell r="AG42">
            <v>393403</v>
          </cell>
          <cell r="AH42">
            <v>418986</v>
          </cell>
          <cell r="AI42">
            <v>447521</v>
          </cell>
        </row>
        <row r="43">
          <cell r="A43">
            <v>40</v>
          </cell>
          <cell r="B43" t="str">
            <v xml:space="preserve">Industrial </v>
          </cell>
          <cell r="E43">
            <v>7875</v>
          </cell>
          <cell r="F43">
            <v>13399</v>
          </cell>
          <cell r="G43">
            <v>17443</v>
          </cell>
          <cell r="H43">
            <v>23239</v>
          </cell>
          <cell r="I43">
            <v>31902</v>
          </cell>
          <cell r="J43">
            <v>40681</v>
          </cell>
          <cell r="K43">
            <v>46165</v>
          </cell>
          <cell r="L43">
            <v>51486</v>
          </cell>
          <cell r="M43">
            <v>61744</v>
          </cell>
          <cell r="N43">
            <v>72720</v>
          </cell>
          <cell r="O43">
            <v>77951</v>
          </cell>
          <cell r="P43">
            <v>96196</v>
          </cell>
          <cell r="T43">
            <v>40</v>
          </cell>
          <cell r="U43" t="str">
            <v xml:space="preserve">Industrial </v>
          </cell>
          <cell r="X43">
            <v>4734</v>
          </cell>
          <cell r="Y43">
            <v>8886</v>
          </cell>
          <cell r="Z43">
            <v>13605</v>
          </cell>
          <cell r="AA43">
            <v>20804</v>
          </cell>
          <cell r="AB43">
            <v>27717</v>
          </cell>
          <cell r="AC43">
            <v>35466</v>
          </cell>
          <cell r="AD43">
            <v>41454</v>
          </cell>
          <cell r="AE43">
            <v>47276</v>
          </cell>
          <cell r="AF43">
            <v>56180</v>
          </cell>
          <cell r="AG43">
            <v>62757</v>
          </cell>
          <cell r="AH43">
            <v>68277</v>
          </cell>
          <cell r="AI43">
            <v>74721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75843</v>
          </cell>
          <cell r="F45">
            <v>167427</v>
          </cell>
          <cell r="G45">
            <v>245541</v>
          </cell>
          <cell r="H45">
            <v>306515</v>
          </cell>
          <cell r="I45">
            <v>358826</v>
          </cell>
          <cell r="J45">
            <v>407422</v>
          </cell>
          <cell r="K45">
            <v>458464</v>
          </cell>
          <cell r="L45">
            <v>508885</v>
          </cell>
          <cell r="M45">
            <v>563504</v>
          </cell>
          <cell r="N45">
            <v>614373</v>
          </cell>
          <cell r="O45">
            <v>661872</v>
          </cell>
          <cell r="P45">
            <v>739497</v>
          </cell>
          <cell r="T45">
            <v>42</v>
          </cell>
          <cell r="U45" t="str">
            <v>Total Volume</v>
          </cell>
          <cell r="X45">
            <v>97778</v>
          </cell>
          <cell r="Y45">
            <v>212391</v>
          </cell>
          <cell r="Z45">
            <v>324478</v>
          </cell>
          <cell r="AA45">
            <v>394047</v>
          </cell>
          <cell r="AB45">
            <v>442168</v>
          </cell>
          <cell r="AC45">
            <v>488937</v>
          </cell>
          <cell r="AD45">
            <v>540482</v>
          </cell>
          <cell r="AE45">
            <v>596965</v>
          </cell>
          <cell r="AF45">
            <v>650492</v>
          </cell>
          <cell r="AG45">
            <v>695534</v>
          </cell>
          <cell r="AH45">
            <v>737848</v>
          </cell>
          <cell r="AI45">
            <v>791792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- 2015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36002</v>
          </cell>
          <cell r="F48">
            <v>84458</v>
          </cell>
          <cell r="G48">
            <v>119568</v>
          </cell>
          <cell r="H48">
            <v>141545</v>
          </cell>
          <cell r="I48">
            <v>155469</v>
          </cell>
          <cell r="J48">
            <v>163171</v>
          </cell>
          <cell r="K48">
            <v>169933</v>
          </cell>
          <cell r="L48">
            <v>175799</v>
          </cell>
          <cell r="M48">
            <v>181305</v>
          </cell>
          <cell r="N48">
            <v>187625</v>
          </cell>
          <cell r="O48">
            <v>201956</v>
          </cell>
          <cell r="P48">
            <v>235674</v>
          </cell>
          <cell r="T48">
            <v>45</v>
          </cell>
          <cell r="U48" t="str">
            <v>Residential</v>
          </cell>
          <cell r="X48">
            <v>53884</v>
          </cell>
          <cell r="Y48">
            <v>122471</v>
          </cell>
          <cell r="Z48">
            <v>182889</v>
          </cell>
          <cell r="AA48">
            <v>210466</v>
          </cell>
          <cell r="AB48">
            <v>222006</v>
          </cell>
          <cell r="AC48">
            <v>228747</v>
          </cell>
          <cell r="AD48">
            <v>234893</v>
          </cell>
          <cell r="AE48">
            <v>241325</v>
          </cell>
          <cell r="AF48">
            <v>247124</v>
          </cell>
          <cell r="AG48">
            <v>254224</v>
          </cell>
          <cell r="AH48">
            <v>266046</v>
          </cell>
          <cell r="AI48">
            <v>286059</v>
          </cell>
        </row>
        <row r="49">
          <cell r="A49">
            <v>46</v>
          </cell>
          <cell r="B49" t="str">
            <v>Commercial</v>
          </cell>
          <cell r="E49">
            <v>36017</v>
          </cell>
          <cell r="F49">
            <v>78546</v>
          </cell>
          <cell r="G49">
            <v>121509</v>
          </cell>
          <cell r="H49">
            <v>157796</v>
          </cell>
          <cell r="I49">
            <v>189757</v>
          </cell>
          <cell r="J49">
            <v>223945</v>
          </cell>
          <cell r="K49">
            <v>265322</v>
          </cell>
          <cell r="L49">
            <v>307063</v>
          </cell>
          <cell r="M49">
            <v>348323</v>
          </cell>
          <cell r="N49">
            <v>383996</v>
          </cell>
          <cell r="O49">
            <v>414142</v>
          </cell>
          <cell r="P49">
            <v>442924</v>
          </cell>
          <cell r="T49">
            <v>46</v>
          </cell>
          <cell r="U49" t="str">
            <v>Commercial</v>
          </cell>
          <cell r="X49">
            <v>44915</v>
          </cell>
          <cell r="Y49">
            <v>93903</v>
          </cell>
          <cell r="Z49">
            <v>147678</v>
          </cell>
          <cell r="AA49">
            <v>186116</v>
          </cell>
          <cell r="AB49">
            <v>218211</v>
          </cell>
          <cell r="AC49">
            <v>252950</v>
          </cell>
          <cell r="AD49">
            <v>295020</v>
          </cell>
          <cell r="AE49">
            <v>342114</v>
          </cell>
          <cell r="AF49">
            <v>383396</v>
          </cell>
          <cell r="AG49">
            <v>417051</v>
          </cell>
          <cell r="AH49">
            <v>444029</v>
          </cell>
          <cell r="AI49">
            <v>474141</v>
          </cell>
        </row>
        <row r="50">
          <cell r="A50">
            <v>47</v>
          </cell>
          <cell r="B50" t="str">
            <v xml:space="preserve">Industrial </v>
          </cell>
          <cell r="E50">
            <v>8344</v>
          </cell>
          <cell r="F50">
            <v>14184</v>
          </cell>
          <cell r="G50">
            <v>18447</v>
          </cell>
          <cell r="H50">
            <v>24567</v>
          </cell>
          <cell r="I50">
            <v>33674</v>
          </cell>
          <cell r="J50">
            <v>42910</v>
          </cell>
          <cell r="K50">
            <v>48705</v>
          </cell>
          <cell r="L50">
            <v>54322</v>
          </cell>
          <cell r="M50">
            <v>65136</v>
          </cell>
          <cell r="N50">
            <v>76690</v>
          </cell>
          <cell r="O50">
            <v>82194</v>
          </cell>
          <cell r="P50">
            <v>101398</v>
          </cell>
          <cell r="T50">
            <v>47</v>
          </cell>
          <cell r="U50" t="str">
            <v xml:space="preserve">Industrial </v>
          </cell>
          <cell r="X50">
            <v>5027</v>
          </cell>
          <cell r="Y50">
            <v>9446</v>
          </cell>
          <cell r="Z50">
            <v>14465</v>
          </cell>
          <cell r="AA50">
            <v>22085</v>
          </cell>
          <cell r="AB50">
            <v>29405</v>
          </cell>
          <cell r="AC50">
            <v>37642</v>
          </cell>
          <cell r="AD50">
            <v>43979</v>
          </cell>
          <cell r="AE50">
            <v>50130</v>
          </cell>
          <cell r="AF50">
            <v>59524</v>
          </cell>
          <cell r="AG50">
            <v>66493</v>
          </cell>
          <cell r="AH50">
            <v>72314</v>
          </cell>
          <cell r="AI50">
            <v>79114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80363</v>
          </cell>
          <cell r="F52">
            <v>177188</v>
          </cell>
          <cell r="G52">
            <v>259524</v>
          </cell>
          <cell r="H52">
            <v>323908</v>
          </cell>
          <cell r="I52">
            <v>378900</v>
          </cell>
          <cell r="J52">
            <v>430026</v>
          </cell>
          <cell r="K52">
            <v>483960</v>
          </cell>
          <cell r="L52">
            <v>537184</v>
          </cell>
          <cell r="M52">
            <v>594764</v>
          </cell>
          <cell r="N52">
            <v>648311</v>
          </cell>
          <cell r="O52">
            <v>698292</v>
          </cell>
          <cell r="P52">
            <v>779996</v>
          </cell>
          <cell r="T52">
            <v>49</v>
          </cell>
          <cell r="U52" t="str">
            <v>Total Volume</v>
          </cell>
          <cell r="W52">
            <v>0</v>
          </cell>
          <cell r="X52">
            <v>103826</v>
          </cell>
          <cell r="Y52">
            <v>225820</v>
          </cell>
          <cell r="Z52">
            <v>345032</v>
          </cell>
          <cell r="AA52">
            <v>418667</v>
          </cell>
          <cell r="AB52">
            <v>469622</v>
          </cell>
          <cell r="AC52">
            <v>519339</v>
          </cell>
          <cell r="AD52">
            <v>573892</v>
          </cell>
          <cell r="AE52">
            <v>633569</v>
          </cell>
          <cell r="AF52">
            <v>690044</v>
          </cell>
          <cell r="AG52">
            <v>737768</v>
          </cell>
          <cell r="AH52">
            <v>782389</v>
          </cell>
          <cell r="AI52">
            <v>839314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10672</v>
          </cell>
          <cell r="F55">
            <v>10663</v>
          </cell>
          <cell r="G55">
            <v>10670</v>
          </cell>
          <cell r="H55">
            <v>10670</v>
          </cell>
          <cell r="I55">
            <v>10676</v>
          </cell>
          <cell r="J55">
            <v>10683</v>
          </cell>
          <cell r="K55">
            <v>10686</v>
          </cell>
          <cell r="L55">
            <v>10690</v>
          </cell>
          <cell r="M55">
            <v>10693</v>
          </cell>
          <cell r="N55">
            <v>10693</v>
          </cell>
          <cell r="O55">
            <v>10691</v>
          </cell>
          <cell r="P55">
            <v>10690</v>
          </cell>
        </row>
        <row r="56">
          <cell r="A56">
            <v>53</v>
          </cell>
          <cell r="B56" t="str">
            <v>Cumulative Budget YTD Volume (Mcfs)</v>
          </cell>
          <cell r="E56">
            <v>96181</v>
          </cell>
          <cell r="F56">
            <v>205297</v>
          </cell>
          <cell r="G56">
            <v>304018</v>
          </cell>
          <cell r="H56">
            <v>375886</v>
          </cell>
          <cell r="I56">
            <v>429376</v>
          </cell>
          <cell r="J56">
            <v>480412</v>
          </cell>
          <cell r="K56">
            <v>528399</v>
          </cell>
          <cell r="L56">
            <v>584386</v>
          </cell>
          <cell r="M56">
            <v>640630</v>
          </cell>
          <cell r="N56">
            <v>696205</v>
          </cell>
          <cell r="O56">
            <v>753988</v>
          </cell>
          <cell r="P56">
            <v>830756</v>
          </cell>
        </row>
        <row r="57">
          <cell r="A57">
            <v>54</v>
          </cell>
          <cell r="B57" t="str">
            <v>Cumulative YTD Budget Volume (Dts) * 1.035</v>
          </cell>
          <cell r="E57">
            <v>99547.334999999992</v>
          </cell>
          <cell r="F57">
            <v>212482.39499999999</v>
          </cell>
          <cell r="G57">
            <v>314658.63</v>
          </cell>
          <cell r="H57">
            <v>389042.01</v>
          </cell>
          <cell r="I57">
            <v>444404.16000000003</v>
          </cell>
          <cell r="J57">
            <v>497226.42000000004</v>
          </cell>
          <cell r="K57">
            <v>546892.96500000008</v>
          </cell>
          <cell r="L57">
            <v>604839.51000000013</v>
          </cell>
          <cell r="M57">
            <v>663052.05000000016</v>
          </cell>
          <cell r="N57">
            <v>720572.17500000016</v>
          </cell>
          <cell r="O57">
            <v>780377.58000000019</v>
          </cell>
          <cell r="P57">
            <v>859832.4600000002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ActvsAct"/>
      <sheetName val="Customers Act vs Budget"/>
      <sheetName val="Volume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CFG"/>
      <sheetName val="FPUNG"/>
      <sheetName val="Electric"/>
      <sheetName val="ESNG"/>
      <sheetName val="WorcesterCounty"/>
      <sheetName val="SharpDelmarva"/>
      <sheetName val="AEO"/>
      <sheetName val="PESCO"/>
      <sheetName val="FloridaPropane"/>
      <sheetName val="Utility stats YTD Q2 2016"/>
      <sheetName val="Utility stats Q2 2016"/>
      <sheetName val="Utility stats YTD Q1 2016"/>
      <sheetName val="Utility stats YTD Q4 2015"/>
      <sheetName val="Utility stats Q4 2015"/>
      <sheetName val="Utility stats YTD Q3 2015"/>
      <sheetName val="Utility stats Q3 2015"/>
      <sheetName val="Utility stats YTD Q2 2015"/>
      <sheetName val="Utility stats Q2 2015"/>
      <sheetName val="Utility stats YTD Q1 2015"/>
      <sheetName val="Utility stats YTD Q4"/>
      <sheetName val="Utility stats Q4 2014 "/>
      <sheetName val="Utility stats Q3 2014"/>
      <sheetName val="Utility stats YTD Q3"/>
      <sheetName val="Utility stats Q2 2014"/>
      <sheetName val="Utility stats YTD Q2"/>
      <sheetName val="Utility stats Q1 2014"/>
    </sheetNames>
    <sheetDataSet>
      <sheetData sheetId="0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2017 and 2016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2017</v>
          </cell>
          <cell r="J14" t="str">
            <v>Actual customers for the Month of January 2016</v>
          </cell>
          <cell r="K14" t="str">
            <v>Average customers for the One Month ended January 31, 2017</v>
          </cell>
          <cell r="L14" t="str">
            <v>Average customers for the One Month ended January 31, 2016</v>
          </cell>
          <cell r="M14" t="str">
            <v>Volume for the Month of January 2017</v>
          </cell>
          <cell r="N14" t="str">
            <v>Volume for the Month of January 2016</v>
          </cell>
          <cell r="O14" t="str">
            <v>Volume for the One Month ended January 31, 2017</v>
          </cell>
          <cell r="P14" t="str">
            <v>Volume for the One Month ended January 31, 2016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2017 and 2016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2017</v>
          </cell>
          <cell r="J15" t="str">
            <v>Actual customers for the Month of February 2016</v>
          </cell>
          <cell r="K15" t="str">
            <v>Average customers for the Two Months ended February 28, 2017</v>
          </cell>
          <cell r="L15" t="str">
            <v>Average customers for the Two Months ended February 28, 2016</v>
          </cell>
          <cell r="M15" t="str">
            <v>Volume for the Month of February 2017</v>
          </cell>
          <cell r="N15" t="str">
            <v>Volume for the Month of February 2016</v>
          </cell>
          <cell r="O15" t="str">
            <v>Volume for the Two Months ended February 28, 2017</v>
          </cell>
          <cell r="P15" t="str">
            <v>Volume for the Two Months ended February 28, 2016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2017 and 2016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2017</v>
          </cell>
          <cell r="J16" t="str">
            <v>Actual customers for the Month of March 2016</v>
          </cell>
          <cell r="K16" t="str">
            <v>Average customers for the Three Months ended March 31, 2017</v>
          </cell>
          <cell r="L16" t="str">
            <v>Average customers for the Three Months ended March 31, 2016</v>
          </cell>
          <cell r="M16" t="str">
            <v>Volume for the Month of March 2017</v>
          </cell>
          <cell r="N16" t="str">
            <v>Volume for the Month of March 2016</v>
          </cell>
          <cell r="O16" t="str">
            <v>Volume for the Three Months ended March 31, 2017</v>
          </cell>
          <cell r="P16" t="str">
            <v>Volume for the Three Months ended March 31, 2016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2017 and 2016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2017</v>
          </cell>
          <cell r="J17" t="str">
            <v>Actual customers for the Month of April 2016</v>
          </cell>
          <cell r="K17" t="str">
            <v>Average customers for the Four Months ended April 30, 2017</v>
          </cell>
          <cell r="L17" t="str">
            <v>Average customers for the Four Months ended April 30, 2016</v>
          </cell>
          <cell r="M17" t="str">
            <v>Volume for the Month of April 2017</v>
          </cell>
          <cell r="N17" t="str">
            <v>Volume for the Month of April 2016</v>
          </cell>
          <cell r="O17" t="str">
            <v>Volume for the Four Months ended April 30, 2017</v>
          </cell>
          <cell r="P17" t="str">
            <v>Volume for the Four Months ended April 30, 2016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2017 and 2016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2017</v>
          </cell>
          <cell r="J18" t="str">
            <v>Actual customers for the Month of May 2016</v>
          </cell>
          <cell r="K18" t="str">
            <v>Average customers for the Five Months ended May 31, 2017</v>
          </cell>
          <cell r="L18" t="str">
            <v>Average customers for the Five Months ended May 31, 2016</v>
          </cell>
          <cell r="M18" t="str">
            <v>Volume for the Month of May 2017</v>
          </cell>
          <cell r="N18" t="str">
            <v>Volume for the Month of May 2016</v>
          </cell>
          <cell r="O18" t="str">
            <v>Volume for the Five Months ended May 31, 2017</v>
          </cell>
          <cell r="P18" t="str">
            <v>Volume for the Five Months ended May 31, 2016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2017 and 2016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2017</v>
          </cell>
          <cell r="J19" t="str">
            <v>Actual customers for the Month of June 2016</v>
          </cell>
          <cell r="K19" t="str">
            <v>Average customers for the Six Months ended June 30, 2017</v>
          </cell>
          <cell r="L19" t="str">
            <v>Average customers for the Six Months ended June 30, 2016</v>
          </cell>
          <cell r="M19" t="str">
            <v>Volume for the Month of June 2017</v>
          </cell>
          <cell r="N19" t="str">
            <v>Volume for the Month of June 2016</v>
          </cell>
          <cell r="O19" t="str">
            <v>Volume for the Six Months ended June 30, 2017</v>
          </cell>
          <cell r="P19" t="str">
            <v>Volume for the Six Months ended June 30, 2016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2017 and 2016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2017</v>
          </cell>
          <cell r="J20" t="str">
            <v>Actual customers for the Month of July 2016</v>
          </cell>
          <cell r="K20" t="str">
            <v>Average customers for the Seven Months ended July 31, 2017</v>
          </cell>
          <cell r="L20" t="str">
            <v>Average customers for the Seven Months ended July 31, 2016</v>
          </cell>
          <cell r="M20" t="str">
            <v>Volume for the Month of July 2017</v>
          </cell>
          <cell r="N20" t="str">
            <v>Volume for the Month of July 2016</v>
          </cell>
          <cell r="O20" t="str">
            <v>Volume for the Seven Months ended July 31, 2017</v>
          </cell>
          <cell r="P20" t="str">
            <v>Volume for the Seven Months ended July 31, 2016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2017 and 2016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2017</v>
          </cell>
          <cell r="J21" t="str">
            <v>Actual customers for the Month of August 2016</v>
          </cell>
          <cell r="K21" t="str">
            <v>Average customers for the Eight Months ended August 31, 2017</v>
          </cell>
          <cell r="L21" t="str">
            <v>Average customers for the Eight Months ended August 31, 2016</v>
          </cell>
          <cell r="M21" t="str">
            <v>Volume for the Month of August 2017</v>
          </cell>
          <cell r="N21" t="str">
            <v>Volume for the Month of August 2016</v>
          </cell>
          <cell r="O21" t="str">
            <v>Volume for the Eight Months ended August 31, 2017</v>
          </cell>
          <cell r="P21" t="str">
            <v>Volume for the Eight Months ended August 31, 2016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2017 and 2016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2017</v>
          </cell>
          <cell r="J22" t="str">
            <v>Actual customers for the Month of September 2016</v>
          </cell>
          <cell r="K22" t="str">
            <v>Average customers for the Nine Months ended September 30, 2017</v>
          </cell>
          <cell r="L22" t="str">
            <v>Average customers for the Nine Months ended September 30, 2016</v>
          </cell>
          <cell r="M22" t="str">
            <v>Volume for the Month of September 2017</v>
          </cell>
          <cell r="N22" t="str">
            <v>Volume for the Month of September 2016</v>
          </cell>
          <cell r="O22" t="str">
            <v>Volume for the Nine Months ended September 30, 2017</v>
          </cell>
          <cell r="P22" t="str">
            <v>Volume for the Nine Months ended September 30, 2016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2017 and 2016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2017</v>
          </cell>
          <cell r="J23" t="str">
            <v>Actual customers for the Month of October 2016</v>
          </cell>
          <cell r="K23" t="str">
            <v>Average customers for the Ten Months ended October 31, 2017</v>
          </cell>
          <cell r="L23" t="str">
            <v>Average customers for the Ten Months ended October 31, 2016</v>
          </cell>
          <cell r="M23" t="str">
            <v>Volume for the Month of October 2017</v>
          </cell>
          <cell r="N23" t="str">
            <v>Volume for the Month of October 2016</v>
          </cell>
          <cell r="O23" t="str">
            <v>Volume for the Ten Months ended October 31, 2017</v>
          </cell>
          <cell r="P23" t="str">
            <v>Volume for the Ten Months ended October 31, 2016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2017 and 2016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2017</v>
          </cell>
          <cell r="J24" t="str">
            <v>Actual customers for the Month of November 2016</v>
          </cell>
          <cell r="K24" t="str">
            <v>Average customers for the Eleven Months ended November 30, 2017</v>
          </cell>
          <cell r="L24" t="str">
            <v>Average customers for the Eleven Months ended November 30, 2016</v>
          </cell>
          <cell r="M24" t="str">
            <v>Volume for the Month of November 2017</v>
          </cell>
          <cell r="N24" t="str">
            <v>Volume for the Month of November 2016</v>
          </cell>
          <cell r="O24" t="str">
            <v>Volume for the Eleven Months ended November 30, 2017</v>
          </cell>
          <cell r="P24" t="str">
            <v>Volume for the Eleven Months ended November 30, 2016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2017 and 2016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2017</v>
          </cell>
          <cell r="J25" t="str">
            <v>Actual customers for the Month of December 2016</v>
          </cell>
          <cell r="K25" t="str">
            <v>Average customers for the Twelve Months ended December 31, 2017</v>
          </cell>
          <cell r="L25" t="str">
            <v>Average customers for the Twelve Months ended December 31, 2016</v>
          </cell>
          <cell r="M25" t="str">
            <v>Volume for the Month of December 2017</v>
          </cell>
          <cell r="N25" t="str">
            <v>Volume for the Month of December 2016</v>
          </cell>
          <cell r="O25" t="str">
            <v>Volume for the Twelve Months ended December 31, 2017</v>
          </cell>
          <cell r="P25" t="str">
            <v>Volume for the Twelve Months ended December 31, 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G3" t="str">
            <v>For the Twelve Months ended December 31, 2017 and 2016</v>
          </cell>
        </row>
      </sheetData>
      <sheetData sheetId="6" refreshError="1"/>
      <sheetData sheetId="7" refreshError="1"/>
      <sheetData sheetId="8" refreshError="1"/>
      <sheetData sheetId="9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48170.666666666664</v>
          </cell>
          <cell r="E5">
            <v>47631</v>
          </cell>
          <cell r="F5">
            <v>47841</v>
          </cell>
          <cell r="G5">
            <v>48000</v>
          </cell>
          <cell r="H5">
            <v>48074</v>
          </cell>
          <cell r="I5">
            <v>47891</v>
          </cell>
          <cell r="J5">
            <v>47715</v>
          </cell>
          <cell r="K5">
            <v>47669</v>
          </cell>
          <cell r="L5">
            <v>47883</v>
          </cell>
          <cell r="M5">
            <v>48172</v>
          </cell>
          <cell r="N5">
            <v>48471</v>
          </cell>
          <cell r="O5">
            <v>48987</v>
          </cell>
          <cell r="P5">
            <v>49714</v>
          </cell>
          <cell r="T5">
            <v>2</v>
          </cell>
          <cell r="U5" t="str">
            <v>Residential</v>
          </cell>
          <cell r="V5">
            <v>45605</v>
          </cell>
          <cell r="W5">
            <v>547254</v>
          </cell>
          <cell r="X5">
            <v>44906</v>
          </cell>
          <cell r="Y5">
            <v>45269</v>
          </cell>
          <cell r="Z5">
            <v>45430</v>
          </cell>
          <cell r="AA5">
            <v>45572</v>
          </cell>
          <cell r="AB5">
            <v>45374</v>
          </cell>
          <cell r="AC5">
            <v>45272</v>
          </cell>
          <cell r="AD5">
            <v>45295</v>
          </cell>
          <cell r="AE5">
            <v>45354</v>
          </cell>
          <cell r="AF5">
            <v>45496</v>
          </cell>
          <cell r="AG5">
            <v>45780</v>
          </cell>
          <cell r="AH5">
            <v>46415</v>
          </cell>
          <cell r="AI5">
            <v>47091</v>
          </cell>
        </row>
        <row r="6">
          <cell r="A6">
            <v>3</v>
          </cell>
          <cell r="B6" t="str">
            <v>Commercial</v>
          </cell>
          <cell r="D6">
            <v>3940.5833333333335</v>
          </cell>
          <cell r="E6">
            <v>3994</v>
          </cell>
          <cell r="F6">
            <v>4002</v>
          </cell>
          <cell r="G6">
            <v>4007</v>
          </cell>
          <cell r="H6">
            <v>3979</v>
          </cell>
          <cell r="I6">
            <v>3923</v>
          </cell>
          <cell r="J6">
            <v>3900</v>
          </cell>
          <cell r="K6">
            <v>3881</v>
          </cell>
          <cell r="L6">
            <v>3882</v>
          </cell>
          <cell r="M6">
            <v>3882</v>
          </cell>
          <cell r="N6">
            <v>3874</v>
          </cell>
          <cell r="O6">
            <v>3941</v>
          </cell>
          <cell r="P6">
            <v>4022</v>
          </cell>
          <cell r="T6">
            <v>3</v>
          </cell>
          <cell r="U6" t="str">
            <v>Commercial</v>
          </cell>
          <cell r="V6">
            <v>3857</v>
          </cell>
          <cell r="W6">
            <v>46284</v>
          </cell>
          <cell r="X6">
            <v>3870</v>
          </cell>
          <cell r="Y6">
            <v>3919</v>
          </cell>
          <cell r="Z6">
            <v>3905</v>
          </cell>
          <cell r="AA6">
            <v>3883</v>
          </cell>
          <cell r="AB6">
            <v>3836</v>
          </cell>
          <cell r="AC6">
            <v>3828</v>
          </cell>
          <cell r="AD6">
            <v>3818</v>
          </cell>
          <cell r="AE6">
            <v>3810</v>
          </cell>
          <cell r="AF6">
            <v>3794</v>
          </cell>
          <cell r="AG6">
            <v>3804</v>
          </cell>
          <cell r="AH6">
            <v>3872</v>
          </cell>
          <cell r="AI6">
            <v>3945</v>
          </cell>
        </row>
        <row r="7">
          <cell r="A7">
            <v>4</v>
          </cell>
          <cell r="B7" t="str">
            <v xml:space="preserve">Industrial </v>
          </cell>
          <cell r="D7">
            <v>88</v>
          </cell>
          <cell r="E7">
            <v>87</v>
          </cell>
          <cell r="F7">
            <v>87</v>
          </cell>
          <cell r="G7">
            <v>87</v>
          </cell>
          <cell r="H7">
            <v>88</v>
          </cell>
          <cell r="I7">
            <v>89</v>
          </cell>
          <cell r="J7">
            <v>85</v>
          </cell>
          <cell r="K7">
            <v>86</v>
          </cell>
          <cell r="L7">
            <v>86</v>
          </cell>
          <cell r="M7">
            <v>87</v>
          </cell>
          <cell r="N7">
            <v>91</v>
          </cell>
          <cell r="O7">
            <v>88</v>
          </cell>
          <cell r="P7">
            <v>95</v>
          </cell>
          <cell r="T7">
            <v>4</v>
          </cell>
          <cell r="U7" t="str">
            <v xml:space="preserve">Industrial </v>
          </cell>
          <cell r="V7">
            <v>81</v>
          </cell>
          <cell r="W7">
            <v>968</v>
          </cell>
          <cell r="X7">
            <v>80</v>
          </cell>
          <cell r="Y7">
            <v>80</v>
          </cell>
          <cell r="Z7">
            <v>80</v>
          </cell>
          <cell r="AA7">
            <v>79</v>
          </cell>
          <cell r="AB7">
            <v>79</v>
          </cell>
          <cell r="AC7">
            <v>78</v>
          </cell>
          <cell r="AD7">
            <v>80</v>
          </cell>
          <cell r="AE7">
            <v>80</v>
          </cell>
          <cell r="AF7">
            <v>80</v>
          </cell>
          <cell r="AG7">
            <v>81</v>
          </cell>
          <cell r="AH7">
            <v>85</v>
          </cell>
          <cell r="AI7">
            <v>86</v>
          </cell>
        </row>
        <row r="8">
          <cell r="A8">
            <v>5</v>
          </cell>
          <cell r="B8" t="str">
            <v>Other</v>
          </cell>
          <cell r="D8">
            <v>4.583333333333333</v>
          </cell>
          <cell r="E8">
            <v>5</v>
          </cell>
          <cell r="F8">
            <v>5</v>
          </cell>
          <cell r="G8">
            <v>5</v>
          </cell>
          <cell r="H8">
            <v>5</v>
          </cell>
          <cell r="I8">
            <v>7</v>
          </cell>
          <cell r="J8">
            <v>9</v>
          </cell>
          <cell r="K8">
            <v>5</v>
          </cell>
          <cell r="L8">
            <v>2</v>
          </cell>
          <cell r="M8">
            <v>2</v>
          </cell>
          <cell r="N8">
            <v>2</v>
          </cell>
          <cell r="O8">
            <v>2</v>
          </cell>
          <cell r="P8">
            <v>6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59</v>
          </cell>
          <cell r="X8">
            <v>3</v>
          </cell>
          <cell r="Y8">
            <v>3</v>
          </cell>
          <cell r="Z8">
            <v>6</v>
          </cell>
          <cell r="AA8">
            <v>4</v>
          </cell>
          <cell r="AB8">
            <v>5</v>
          </cell>
          <cell r="AC8">
            <v>4</v>
          </cell>
          <cell r="AD8">
            <v>5</v>
          </cell>
          <cell r="AE8">
            <v>5</v>
          </cell>
          <cell r="AF8">
            <v>7</v>
          </cell>
          <cell r="AG8">
            <v>8</v>
          </cell>
          <cell r="AH8">
            <v>4</v>
          </cell>
          <cell r="AI8">
            <v>5</v>
          </cell>
        </row>
        <row r="9">
          <cell r="A9">
            <v>6</v>
          </cell>
          <cell r="B9" t="str">
            <v>Total customers</v>
          </cell>
          <cell r="D9">
            <v>52203.833333333336</v>
          </cell>
          <cell r="E9">
            <v>51717</v>
          </cell>
          <cell r="F9">
            <v>51935</v>
          </cell>
          <cell r="G9">
            <v>52099</v>
          </cell>
          <cell r="H9">
            <v>52146</v>
          </cell>
          <cell r="I9">
            <v>51910</v>
          </cell>
          <cell r="J9">
            <v>51709</v>
          </cell>
          <cell r="K9">
            <v>51641</v>
          </cell>
          <cell r="L9">
            <v>51853</v>
          </cell>
          <cell r="M9">
            <v>52143</v>
          </cell>
          <cell r="N9">
            <v>52438</v>
          </cell>
          <cell r="O9">
            <v>53018</v>
          </cell>
          <cell r="P9">
            <v>53837</v>
          </cell>
          <cell r="T9">
            <v>6</v>
          </cell>
          <cell r="U9" t="str">
            <v>Total customers</v>
          </cell>
          <cell r="V9">
            <v>49548</v>
          </cell>
          <cell r="W9">
            <v>594565</v>
          </cell>
          <cell r="X9">
            <v>48859</v>
          </cell>
          <cell r="Y9">
            <v>49271</v>
          </cell>
          <cell r="Z9">
            <v>49421</v>
          </cell>
          <cell r="AA9">
            <v>49538</v>
          </cell>
          <cell r="AB9">
            <v>49294</v>
          </cell>
          <cell r="AC9">
            <v>49182</v>
          </cell>
          <cell r="AD9">
            <v>49198</v>
          </cell>
          <cell r="AE9">
            <v>49249</v>
          </cell>
          <cell r="AF9">
            <v>49377</v>
          </cell>
          <cell r="AG9">
            <v>49673</v>
          </cell>
          <cell r="AH9">
            <v>50376</v>
          </cell>
          <cell r="AI9">
            <v>51127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2512861</v>
          </cell>
          <cell r="E12">
            <v>532570</v>
          </cell>
          <cell r="F12">
            <v>432647</v>
          </cell>
          <cell r="G12">
            <v>390919</v>
          </cell>
          <cell r="H12">
            <v>267835</v>
          </cell>
          <cell r="I12">
            <v>99855</v>
          </cell>
          <cell r="J12">
            <v>64276</v>
          </cell>
          <cell r="K12">
            <v>45115</v>
          </cell>
          <cell r="L12">
            <v>42375</v>
          </cell>
          <cell r="M12">
            <v>45126</v>
          </cell>
          <cell r="N12">
            <v>50795</v>
          </cell>
          <cell r="O12">
            <v>163220</v>
          </cell>
          <cell r="P12">
            <v>378128</v>
          </cell>
          <cell r="T12">
            <v>9</v>
          </cell>
          <cell r="U12" t="str">
            <v>Residential</v>
          </cell>
          <cell r="W12">
            <v>2358386</v>
          </cell>
          <cell r="X12">
            <v>366424</v>
          </cell>
          <cell r="Y12">
            <v>514106</v>
          </cell>
          <cell r="Z12">
            <v>367283</v>
          </cell>
          <cell r="AA12">
            <v>242332</v>
          </cell>
          <cell r="AB12">
            <v>138295</v>
          </cell>
          <cell r="AC12">
            <v>66566</v>
          </cell>
          <cell r="AD12">
            <v>44868</v>
          </cell>
          <cell r="AE12">
            <v>37570</v>
          </cell>
          <cell r="AF12">
            <v>42463</v>
          </cell>
          <cell r="AG12">
            <v>50956</v>
          </cell>
          <cell r="AH12">
            <v>139571</v>
          </cell>
          <cell r="AI12">
            <v>347952</v>
          </cell>
        </row>
        <row r="13">
          <cell r="A13">
            <v>10</v>
          </cell>
          <cell r="B13" t="str">
            <v>Commercial</v>
          </cell>
          <cell r="D13">
            <v>2015952</v>
          </cell>
          <cell r="E13">
            <v>330553</v>
          </cell>
          <cell r="F13">
            <v>282389</v>
          </cell>
          <cell r="G13">
            <v>281338</v>
          </cell>
          <cell r="H13">
            <v>161810</v>
          </cell>
          <cell r="I13">
            <v>104997</v>
          </cell>
          <cell r="J13">
            <v>90433</v>
          </cell>
          <cell r="K13">
            <v>70404</v>
          </cell>
          <cell r="L13">
            <v>77275</v>
          </cell>
          <cell r="M13">
            <v>84650</v>
          </cell>
          <cell r="N13">
            <v>92212</v>
          </cell>
          <cell r="O13">
            <v>165759</v>
          </cell>
          <cell r="P13">
            <v>274132</v>
          </cell>
          <cell r="T13">
            <v>10</v>
          </cell>
          <cell r="U13" t="str">
            <v>Commercial</v>
          </cell>
          <cell r="W13">
            <v>2004885</v>
          </cell>
          <cell r="X13">
            <v>299165</v>
          </cell>
          <cell r="Y13">
            <v>333452</v>
          </cell>
          <cell r="Z13">
            <v>248328</v>
          </cell>
          <cell r="AA13">
            <v>167140</v>
          </cell>
          <cell r="AB13">
            <v>117328</v>
          </cell>
          <cell r="AC13">
            <v>89614</v>
          </cell>
          <cell r="AD13">
            <v>72369</v>
          </cell>
          <cell r="AE13">
            <v>72918</v>
          </cell>
          <cell r="AF13">
            <v>79628</v>
          </cell>
          <cell r="AG13">
            <v>96934</v>
          </cell>
          <cell r="AH13">
            <v>143986</v>
          </cell>
          <cell r="AI13">
            <v>284023</v>
          </cell>
        </row>
        <row r="14">
          <cell r="A14">
            <v>11</v>
          </cell>
          <cell r="B14" t="str">
            <v xml:space="preserve">Industrial </v>
          </cell>
          <cell r="D14">
            <v>2974686</v>
          </cell>
          <cell r="E14">
            <v>280946</v>
          </cell>
          <cell r="F14">
            <v>261329</v>
          </cell>
          <cell r="G14">
            <v>288554</v>
          </cell>
          <cell r="H14">
            <v>226739</v>
          </cell>
          <cell r="I14">
            <v>241469</v>
          </cell>
          <cell r="J14">
            <v>236804</v>
          </cell>
          <cell r="K14">
            <v>190691</v>
          </cell>
          <cell r="L14">
            <v>223615</v>
          </cell>
          <cell r="M14">
            <v>263389</v>
          </cell>
          <cell r="N14">
            <v>267396</v>
          </cell>
          <cell r="O14">
            <v>238073</v>
          </cell>
          <cell r="P14">
            <v>255681</v>
          </cell>
          <cell r="T14">
            <v>11</v>
          </cell>
          <cell r="U14" t="str">
            <v xml:space="preserve">Industrial </v>
          </cell>
          <cell r="W14">
            <v>3036274</v>
          </cell>
          <cell r="X14">
            <v>282310</v>
          </cell>
          <cell r="Y14">
            <v>285180</v>
          </cell>
          <cell r="Z14">
            <v>290010</v>
          </cell>
          <cell r="AA14">
            <v>242188</v>
          </cell>
          <cell r="AB14">
            <v>233434</v>
          </cell>
          <cell r="AC14">
            <v>234367</v>
          </cell>
          <cell r="AD14">
            <v>199754</v>
          </cell>
          <cell r="AE14">
            <v>219518</v>
          </cell>
          <cell r="AF14">
            <v>250465</v>
          </cell>
          <cell r="AG14">
            <v>267829</v>
          </cell>
          <cell r="AH14">
            <v>237748</v>
          </cell>
          <cell r="AI14">
            <v>293471</v>
          </cell>
        </row>
        <row r="15">
          <cell r="A15">
            <v>12</v>
          </cell>
          <cell r="B15" t="str">
            <v>Other</v>
          </cell>
          <cell r="D15">
            <v>91114</v>
          </cell>
          <cell r="E15">
            <v>3839</v>
          </cell>
          <cell r="F15">
            <v>2625</v>
          </cell>
          <cell r="G15">
            <v>3581</v>
          </cell>
          <cell r="H15">
            <v>3651</v>
          </cell>
          <cell r="I15">
            <v>5382</v>
          </cell>
          <cell r="J15">
            <v>10315</v>
          </cell>
          <cell r="K15">
            <v>11211</v>
          </cell>
          <cell r="L15">
            <v>14827</v>
          </cell>
          <cell r="M15">
            <v>7918</v>
          </cell>
          <cell r="N15">
            <v>12246</v>
          </cell>
          <cell r="O15">
            <v>9289</v>
          </cell>
          <cell r="P15">
            <v>6230</v>
          </cell>
          <cell r="T15">
            <v>12</v>
          </cell>
          <cell r="U15" t="str">
            <v xml:space="preserve">Interruptible </v>
          </cell>
          <cell r="W15">
            <v>88045</v>
          </cell>
          <cell r="X15">
            <v>3618</v>
          </cell>
          <cell r="Y15">
            <v>3637</v>
          </cell>
          <cell r="Z15">
            <v>5526</v>
          </cell>
          <cell r="AA15">
            <v>6261</v>
          </cell>
          <cell r="AB15">
            <v>8806</v>
          </cell>
          <cell r="AC15">
            <v>10183</v>
          </cell>
          <cell r="AD15">
            <v>9695</v>
          </cell>
          <cell r="AE15">
            <v>10655</v>
          </cell>
          <cell r="AF15">
            <v>6372</v>
          </cell>
          <cell r="AG15">
            <v>9271</v>
          </cell>
          <cell r="AH15">
            <v>7865</v>
          </cell>
          <cell r="AI15">
            <v>6156</v>
          </cell>
        </row>
        <row r="16">
          <cell r="A16">
            <v>13</v>
          </cell>
          <cell r="B16" t="str">
            <v>Total Volume</v>
          </cell>
          <cell r="D16">
            <v>7594613</v>
          </cell>
          <cell r="E16">
            <v>1147908</v>
          </cell>
          <cell r="F16">
            <v>978990</v>
          </cell>
          <cell r="G16">
            <v>964392</v>
          </cell>
          <cell r="H16">
            <v>660035</v>
          </cell>
          <cell r="I16">
            <v>451703</v>
          </cell>
          <cell r="J16">
            <v>401828</v>
          </cell>
          <cell r="K16">
            <v>317421</v>
          </cell>
          <cell r="L16">
            <v>358092</v>
          </cell>
          <cell r="M16">
            <v>401083</v>
          </cell>
          <cell r="N16">
            <v>422649</v>
          </cell>
          <cell r="O16">
            <v>576341</v>
          </cell>
          <cell r="P16">
            <v>914171</v>
          </cell>
          <cell r="T16">
            <v>13</v>
          </cell>
          <cell r="U16" t="str">
            <v>Total Deliveries</v>
          </cell>
          <cell r="W16">
            <v>7487590</v>
          </cell>
          <cell r="X16">
            <v>951517</v>
          </cell>
          <cell r="Y16">
            <v>1136375</v>
          </cell>
          <cell r="Z16">
            <v>911147</v>
          </cell>
          <cell r="AA16">
            <v>657921</v>
          </cell>
          <cell r="AB16">
            <v>497863</v>
          </cell>
          <cell r="AC16">
            <v>400730</v>
          </cell>
          <cell r="AD16">
            <v>326686</v>
          </cell>
          <cell r="AE16">
            <v>340661</v>
          </cell>
          <cell r="AF16">
            <v>378928</v>
          </cell>
          <cell r="AG16">
            <v>424990</v>
          </cell>
          <cell r="AH16">
            <v>529170</v>
          </cell>
          <cell r="AI16">
            <v>931602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2635109</v>
          </cell>
          <cell r="E21">
            <v>559342</v>
          </cell>
          <cell r="F21">
            <v>453808</v>
          </cell>
          <cell r="G21">
            <v>409718</v>
          </cell>
          <cell r="H21">
            <v>280131</v>
          </cell>
          <cell r="I21">
            <v>104305</v>
          </cell>
          <cell r="J21">
            <v>67140</v>
          </cell>
          <cell r="K21">
            <v>47291</v>
          </cell>
          <cell r="L21">
            <v>44234</v>
          </cell>
          <cell r="M21">
            <v>47246</v>
          </cell>
          <cell r="N21">
            <v>53291</v>
          </cell>
          <cell r="O21">
            <v>171277</v>
          </cell>
          <cell r="P21">
            <v>397326</v>
          </cell>
          <cell r="T21">
            <v>18</v>
          </cell>
          <cell r="U21" t="str">
            <v>Residential</v>
          </cell>
          <cell r="W21">
            <v>2488792</v>
          </cell>
          <cell r="X21">
            <v>388267</v>
          </cell>
          <cell r="Y21">
            <v>543523</v>
          </cell>
          <cell r="Z21">
            <v>387131</v>
          </cell>
          <cell r="AA21">
            <v>255888</v>
          </cell>
          <cell r="AB21">
            <v>145380</v>
          </cell>
          <cell r="AC21">
            <v>70033</v>
          </cell>
          <cell r="AD21">
            <v>47410</v>
          </cell>
          <cell r="AE21">
            <v>39659</v>
          </cell>
          <cell r="AF21">
            <v>44765</v>
          </cell>
          <cell r="AG21">
            <v>53638</v>
          </cell>
          <cell r="AH21">
            <v>146865</v>
          </cell>
          <cell r="AI21">
            <v>366233</v>
          </cell>
        </row>
        <row r="22">
          <cell r="A22">
            <v>19</v>
          </cell>
          <cell r="B22" t="str">
            <v>Commercial</v>
          </cell>
          <cell r="D22">
            <v>2113441</v>
          </cell>
          <cell r="E22">
            <v>347170</v>
          </cell>
          <cell r="F22">
            <v>296201</v>
          </cell>
          <cell r="G22">
            <v>294868</v>
          </cell>
          <cell r="H22">
            <v>169239</v>
          </cell>
          <cell r="I22">
            <v>109676</v>
          </cell>
          <cell r="J22">
            <v>94463</v>
          </cell>
          <cell r="K22">
            <v>73800</v>
          </cell>
          <cell r="L22">
            <v>80664</v>
          </cell>
          <cell r="M22">
            <v>88626</v>
          </cell>
          <cell r="N22">
            <v>96743</v>
          </cell>
          <cell r="O22">
            <v>173941</v>
          </cell>
          <cell r="P22">
            <v>288050</v>
          </cell>
          <cell r="T22">
            <v>19</v>
          </cell>
          <cell r="U22" t="str">
            <v>Commercial</v>
          </cell>
          <cell r="W22">
            <v>2115267</v>
          </cell>
          <cell r="X22">
            <v>316998</v>
          </cell>
          <cell r="Y22">
            <v>352532</v>
          </cell>
          <cell r="Z22">
            <v>261748</v>
          </cell>
          <cell r="AA22">
            <v>176490</v>
          </cell>
          <cell r="AB22">
            <v>123339</v>
          </cell>
          <cell r="AC22">
            <v>94281</v>
          </cell>
          <cell r="AD22">
            <v>76469</v>
          </cell>
          <cell r="AE22">
            <v>76972</v>
          </cell>
          <cell r="AF22">
            <v>83945</v>
          </cell>
          <cell r="AG22">
            <v>102036</v>
          </cell>
          <cell r="AH22">
            <v>151511</v>
          </cell>
          <cell r="AI22">
            <v>298946</v>
          </cell>
        </row>
        <row r="23">
          <cell r="A23">
            <v>20</v>
          </cell>
          <cell r="B23" t="str">
            <v xml:space="preserve">Industrial </v>
          </cell>
          <cell r="D23">
            <v>3116438</v>
          </cell>
          <cell r="E23">
            <v>295069</v>
          </cell>
          <cell r="F23">
            <v>274111</v>
          </cell>
          <cell r="G23">
            <v>302431</v>
          </cell>
          <cell r="H23">
            <v>237149</v>
          </cell>
          <cell r="I23">
            <v>252229</v>
          </cell>
          <cell r="J23">
            <v>247356</v>
          </cell>
          <cell r="K23">
            <v>199888</v>
          </cell>
          <cell r="L23">
            <v>233423</v>
          </cell>
          <cell r="M23">
            <v>275760</v>
          </cell>
          <cell r="N23">
            <v>280536</v>
          </cell>
          <cell r="O23">
            <v>249824</v>
          </cell>
          <cell r="P23">
            <v>268662</v>
          </cell>
          <cell r="T23">
            <v>20</v>
          </cell>
          <cell r="U23" t="str">
            <v xml:space="preserve">Industrial </v>
          </cell>
          <cell r="W23">
            <v>3201844</v>
          </cell>
          <cell r="X23">
            <v>299138</v>
          </cell>
          <cell r="Y23">
            <v>301498</v>
          </cell>
          <cell r="Z23">
            <v>305682</v>
          </cell>
          <cell r="AA23">
            <v>255736</v>
          </cell>
          <cell r="AB23">
            <v>245393</v>
          </cell>
          <cell r="AC23">
            <v>246573</v>
          </cell>
          <cell r="AD23">
            <v>211070</v>
          </cell>
          <cell r="AE23">
            <v>231721</v>
          </cell>
          <cell r="AF23">
            <v>264045</v>
          </cell>
          <cell r="AG23">
            <v>281925</v>
          </cell>
          <cell r="AH23">
            <v>250173</v>
          </cell>
          <cell r="AI23">
            <v>308890</v>
          </cell>
        </row>
        <row r="24">
          <cell r="A24">
            <v>21</v>
          </cell>
          <cell r="B24" t="str">
            <v>Other</v>
          </cell>
          <cell r="D24">
            <v>95415</v>
          </cell>
          <cell r="E24">
            <v>4032</v>
          </cell>
          <cell r="F24">
            <v>2753</v>
          </cell>
          <cell r="G24">
            <v>3753</v>
          </cell>
          <cell r="H24">
            <v>3819</v>
          </cell>
          <cell r="I24">
            <v>5622</v>
          </cell>
          <cell r="J24">
            <v>10775</v>
          </cell>
          <cell r="K24">
            <v>11752</v>
          </cell>
          <cell r="L24">
            <v>15477</v>
          </cell>
          <cell r="M24">
            <v>8290</v>
          </cell>
          <cell r="N24">
            <v>12848</v>
          </cell>
          <cell r="O24">
            <v>9748</v>
          </cell>
          <cell r="P24">
            <v>6546</v>
          </cell>
          <cell r="T24">
            <v>21</v>
          </cell>
          <cell r="U24" t="str">
            <v xml:space="preserve">Interruptible </v>
          </cell>
          <cell r="W24">
            <v>92807</v>
          </cell>
          <cell r="X24">
            <v>3834</v>
          </cell>
          <cell r="Y24">
            <v>3845</v>
          </cell>
          <cell r="Z24">
            <v>5825</v>
          </cell>
          <cell r="AA24">
            <v>6611</v>
          </cell>
          <cell r="AB24">
            <v>9257</v>
          </cell>
          <cell r="AC24">
            <v>10713</v>
          </cell>
          <cell r="AD24">
            <v>10244</v>
          </cell>
          <cell r="AE24">
            <v>11247</v>
          </cell>
          <cell r="AF24">
            <v>6717</v>
          </cell>
          <cell r="AG24">
            <v>9759</v>
          </cell>
          <cell r="AH24">
            <v>8276</v>
          </cell>
          <cell r="AI24">
            <v>6479</v>
          </cell>
        </row>
        <row r="25">
          <cell r="A25">
            <v>22</v>
          </cell>
          <cell r="B25" t="str">
            <v>Total Volume</v>
          </cell>
          <cell r="D25">
            <v>7960403</v>
          </cell>
          <cell r="E25">
            <v>1205613</v>
          </cell>
          <cell r="F25">
            <v>1026873</v>
          </cell>
          <cell r="G25">
            <v>1010770</v>
          </cell>
          <cell r="H25">
            <v>690338</v>
          </cell>
          <cell r="I25">
            <v>471832</v>
          </cell>
          <cell r="J25">
            <v>419734</v>
          </cell>
          <cell r="K25">
            <v>332731</v>
          </cell>
          <cell r="L25">
            <v>373798</v>
          </cell>
          <cell r="M25">
            <v>419922</v>
          </cell>
          <cell r="N25">
            <v>443418</v>
          </cell>
          <cell r="O25">
            <v>604790</v>
          </cell>
          <cell r="P25">
            <v>960584</v>
          </cell>
          <cell r="T25">
            <v>22</v>
          </cell>
          <cell r="U25" t="str">
            <v>Total Deliveries</v>
          </cell>
          <cell r="W25">
            <v>7898710</v>
          </cell>
          <cell r="X25">
            <v>1008237</v>
          </cell>
          <cell r="Y25">
            <v>1201398</v>
          </cell>
          <cell r="Z25">
            <v>960386</v>
          </cell>
          <cell r="AA25">
            <v>694725</v>
          </cell>
          <cell r="AB25">
            <v>523369</v>
          </cell>
          <cell r="AC25">
            <v>421600</v>
          </cell>
          <cell r="AD25">
            <v>345193</v>
          </cell>
          <cell r="AE25">
            <v>359599</v>
          </cell>
          <cell r="AF25">
            <v>399472</v>
          </cell>
          <cell r="AG25">
            <v>447358</v>
          </cell>
          <cell r="AH25">
            <v>556825</v>
          </cell>
          <cell r="AI25">
            <v>980548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51145</v>
          </cell>
          <cell r="F28">
            <v>51357</v>
          </cell>
          <cell r="G28">
            <v>51441</v>
          </cell>
          <cell r="H28">
            <v>51437</v>
          </cell>
          <cell r="I28">
            <v>51417</v>
          </cell>
          <cell r="J28">
            <v>51312</v>
          </cell>
          <cell r="K28">
            <v>51387</v>
          </cell>
          <cell r="L28">
            <v>51454</v>
          </cell>
          <cell r="M28">
            <v>51634</v>
          </cell>
          <cell r="N28">
            <v>52235</v>
          </cell>
          <cell r="O28">
            <v>52760</v>
          </cell>
          <cell r="P28">
            <v>53205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1108900</v>
          </cell>
          <cell r="F29">
            <v>1199078</v>
          </cell>
          <cell r="G29">
            <v>1046732</v>
          </cell>
          <cell r="H29">
            <v>717308</v>
          </cell>
          <cell r="I29">
            <v>495772</v>
          </cell>
          <cell r="J29">
            <v>356715</v>
          </cell>
          <cell r="K29">
            <v>348138</v>
          </cell>
          <cell r="L29">
            <v>324917</v>
          </cell>
          <cell r="M29">
            <v>382397</v>
          </cell>
          <cell r="N29">
            <v>474799</v>
          </cell>
          <cell r="O29">
            <v>581479</v>
          </cell>
          <cell r="P29">
            <v>935759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1147711.5</v>
          </cell>
          <cell r="F30">
            <v>1241045.73</v>
          </cell>
          <cell r="G30">
            <v>1083367.6199999999</v>
          </cell>
          <cell r="H30">
            <v>742413.77999999991</v>
          </cell>
          <cell r="I30">
            <v>513124.01999999996</v>
          </cell>
          <cell r="J30">
            <v>369200.02499999997</v>
          </cell>
          <cell r="K30">
            <v>360322.82999999996</v>
          </cell>
          <cell r="L30">
            <v>336289.09499999997</v>
          </cell>
          <cell r="M30">
            <v>395780.89499999996</v>
          </cell>
          <cell r="N30">
            <v>491416.96499999997</v>
          </cell>
          <cell r="O30">
            <v>601830.7649999999</v>
          </cell>
          <cell r="P30">
            <v>968510.56499999994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47631</v>
          </cell>
          <cell r="F34">
            <v>47736</v>
          </cell>
          <cell r="G34">
            <v>47824</v>
          </cell>
          <cell r="H34">
            <v>47887</v>
          </cell>
          <cell r="I34">
            <v>47887</v>
          </cell>
          <cell r="J34">
            <v>47859</v>
          </cell>
          <cell r="K34">
            <v>47832</v>
          </cell>
          <cell r="L34">
            <v>47838</v>
          </cell>
          <cell r="M34">
            <v>47875</v>
          </cell>
          <cell r="N34">
            <v>47935</v>
          </cell>
          <cell r="O34">
            <v>48030</v>
          </cell>
          <cell r="P34">
            <v>48171</v>
          </cell>
          <cell r="T34">
            <v>31</v>
          </cell>
          <cell r="U34" t="str">
            <v>Residential</v>
          </cell>
          <cell r="X34">
            <v>44906</v>
          </cell>
          <cell r="Y34">
            <v>45088</v>
          </cell>
          <cell r="Z34">
            <v>45202</v>
          </cell>
          <cell r="AA34">
            <v>45294</v>
          </cell>
          <cell r="AB34">
            <v>45310</v>
          </cell>
          <cell r="AC34">
            <v>45304</v>
          </cell>
          <cell r="AD34">
            <v>45303</v>
          </cell>
          <cell r="AE34">
            <v>45309</v>
          </cell>
          <cell r="AF34">
            <v>45330</v>
          </cell>
          <cell r="AG34">
            <v>45375</v>
          </cell>
          <cell r="AH34">
            <v>45469</v>
          </cell>
          <cell r="AI34">
            <v>45605</v>
          </cell>
        </row>
        <row r="35">
          <cell r="A35">
            <v>32</v>
          </cell>
          <cell r="B35" t="str">
            <v>Commercial</v>
          </cell>
          <cell r="E35">
            <v>3994</v>
          </cell>
          <cell r="F35">
            <v>3998</v>
          </cell>
          <cell r="G35">
            <v>4001</v>
          </cell>
          <cell r="H35">
            <v>3996</v>
          </cell>
          <cell r="I35">
            <v>3981</v>
          </cell>
          <cell r="J35">
            <v>3968</v>
          </cell>
          <cell r="K35">
            <v>3955</v>
          </cell>
          <cell r="L35">
            <v>3946</v>
          </cell>
          <cell r="M35">
            <v>3939</v>
          </cell>
          <cell r="N35">
            <v>3932</v>
          </cell>
          <cell r="O35">
            <v>3933</v>
          </cell>
          <cell r="P35">
            <v>3941</v>
          </cell>
          <cell r="T35">
            <v>32</v>
          </cell>
          <cell r="U35" t="str">
            <v>Commercial</v>
          </cell>
          <cell r="X35">
            <v>3870</v>
          </cell>
          <cell r="Y35">
            <v>3895</v>
          </cell>
          <cell r="Z35">
            <v>3898</v>
          </cell>
          <cell r="AA35">
            <v>3894</v>
          </cell>
          <cell r="AB35">
            <v>3883</v>
          </cell>
          <cell r="AC35">
            <v>3874</v>
          </cell>
          <cell r="AD35">
            <v>3866</v>
          </cell>
          <cell r="AE35">
            <v>3859</v>
          </cell>
          <cell r="AF35">
            <v>3851</v>
          </cell>
          <cell r="AG35">
            <v>3847</v>
          </cell>
          <cell r="AH35">
            <v>3849</v>
          </cell>
          <cell r="AI35">
            <v>3857</v>
          </cell>
        </row>
        <row r="36">
          <cell r="A36">
            <v>33</v>
          </cell>
          <cell r="B36" t="str">
            <v xml:space="preserve">Industrial </v>
          </cell>
          <cell r="E36">
            <v>87</v>
          </cell>
          <cell r="F36">
            <v>87</v>
          </cell>
          <cell r="G36">
            <v>87</v>
          </cell>
          <cell r="H36">
            <v>87</v>
          </cell>
          <cell r="I36">
            <v>88</v>
          </cell>
          <cell r="J36">
            <v>87</v>
          </cell>
          <cell r="K36">
            <v>87</v>
          </cell>
          <cell r="L36">
            <v>87</v>
          </cell>
          <cell r="M36">
            <v>87</v>
          </cell>
          <cell r="N36">
            <v>87</v>
          </cell>
          <cell r="O36">
            <v>87</v>
          </cell>
          <cell r="P36">
            <v>88</v>
          </cell>
          <cell r="T36">
            <v>33</v>
          </cell>
          <cell r="U36" t="str">
            <v xml:space="preserve">Industrial </v>
          </cell>
          <cell r="X36">
            <v>80</v>
          </cell>
          <cell r="Y36">
            <v>80</v>
          </cell>
          <cell r="Z36">
            <v>80</v>
          </cell>
          <cell r="AA36">
            <v>80</v>
          </cell>
          <cell r="AB36">
            <v>80</v>
          </cell>
          <cell r="AC36">
            <v>79</v>
          </cell>
          <cell r="AD36">
            <v>79</v>
          </cell>
          <cell r="AE36">
            <v>80</v>
          </cell>
          <cell r="AF36">
            <v>80</v>
          </cell>
          <cell r="AG36">
            <v>80</v>
          </cell>
          <cell r="AH36">
            <v>80</v>
          </cell>
          <cell r="AI36">
            <v>81</v>
          </cell>
        </row>
        <row r="37">
          <cell r="A37">
            <v>34</v>
          </cell>
          <cell r="B37" t="str">
            <v>Other</v>
          </cell>
          <cell r="E37">
            <v>5</v>
          </cell>
          <cell r="F37">
            <v>5</v>
          </cell>
          <cell r="G37">
            <v>5</v>
          </cell>
          <cell r="H37">
            <v>5</v>
          </cell>
          <cell r="I37">
            <v>5</v>
          </cell>
          <cell r="J37">
            <v>6</v>
          </cell>
          <cell r="K37">
            <v>6</v>
          </cell>
          <cell r="L37">
            <v>5</v>
          </cell>
          <cell r="M37">
            <v>5</v>
          </cell>
          <cell r="N37">
            <v>5</v>
          </cell>
          <cell r="O37">
            <v>4</v>
          </cell>
          <cell r="P37">
            <v>5</v>
          </cell>
          <cell r="T37">
            <v>34</v>
          </cell>
          <cell r="U37" t="str">
            <v>Other</v>
          </cell>
          <cell r="X37">
            <v>3</v>
          </cell>
          <cell r="Y37">
            <v>3</v>
          </cell>
          <cell r="Z37">
            <v>4</v>
          </cell>
          <cell r="AA37">
            <v>4</v>
          </cell>
          <cell r="AB37">
            <v>4</v>
          </cell>
          <cell r="AC37">
            <v>4</v>
          </cell>
          <cell r="AD37">
            <v>4</v>
          </cell>
          <cell r="AE37">
            <v>4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51717</v>
          </cell>
          <cell r="F38">
            <v>51826</v>
          </cell>
          <cell r="G38">
            <v>51917</v>
          </cell>
          <cell r="H38">
            <v>51975</v>
          </cell>
          <cell r="I38">
            <v>51961</v>
          </cell>
          <cell r="J38">
            <v>51920</v>
          </cell>
          <cell r="K38">
            <v>51880</v>
          </cell>
          <cell r="L38">
            <v>51876</v>
          </cell>
          <cell r="M38">
            <v>51906</v>
          </cell>
          <cell r="N38">
            <v>51959</v>
          </cell>
          <cell r="O38">
            <v>52054</v>
          </cell>
          <cell r="P38">
            <v>52205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48859</v>
          </cell>
          <cell r="Y38">
            <v>49066</v>
          </cell>
          <cell r="Z38">
            <v>49184</v>
          </cell>
          <cell r="AA38">
            <v>49272</v>
          </cell>
          <cell r="AB38">
            <v>49277</v>
          </cell>
          <cell r="AC38">
            <v>49261</v>
          </cell>
          <cell r="AD38">
            <v>49252</v>
          </cell>
          <cell r="AE38">
            <v>49252</v>
          </cell>
          <cell r="AF38">
            <v>49266</v>
          </cell>
          <cell r="AG38">
            <v>49307</v>
          </cell>
          <cell r="AH38">
            <v>49403</v>
          </cell>
          <cell r="AI38">
            <v>49548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532570</v>
          </cell>
          <cell r="F41">
            <v>965217</v>
          </cell>
          <cell r="G41">
            <v>1356136</v>
          </cell>
          <cell r="H41">
            <v>1623971</v>
          </cell>
          <cell r="I41">
            <v>1723826</v>
          </cell>
          <cell r="J41">
            <v>1788102</v>
          </cell>
          <cell r="K41">
            <v>1833217</v>
          </cell>
          <cell r="L41">
            <v>1875592</v>
          </cell>
          <cell r="M41">
            <v>1920718</v>
          </cell>
          <cell r="N41">
            <v>1971513</v>
          </cell>
          <cell r="O41">
            <v>2134733</v>
          </cell>
          <cell r="P41">
            <v>2512861</v>
          </cell>
          <cell r="T41">
            <v>38</v>
          </cell>
          <cell r="U41" t="str">
            <v>Residential</v>
          </cell>
          <cell r="X41">
            <v>366424</v>
          </cell>
          <cell r="Y41">
            <v>880530</v>
          </cell>
          <cell r="Z41">
            <v>1247813</v>
          </cell>
          <cell r="AA41">
            <v>1490145</v>
          </cell>
          <cell r="AB41">
            <v>1628440</v>
          </cell>
          <cell r="AC41">
            <v>1695006</v>
          </cell>
          <cell r="AD41">
            <v>1739874</v>
          </cell>
          <cell r="AE41">
            <v>1777444</v>
          </cell>
          <cell r="AF41">
            <v>1819907</v>
          </cell>
          <cell r="AG41">
            <v>1870863</v>
          </cell>
          <cell r="AH41">
            <v>2010434</v>
          </cell>
          <cell r="AI41">
            <v>2358386</v>
          </cell>
        </row>
        <row r="42">
          <cell r="A42">
            <v>39</v>
          </cell>
          <cell r="B42" t="str">
            <v>Commercial</v>
          </cell>
          <cell r="E42">
            <v>330553</v>
          </cell>
          <cell r="F42">
            <v>612942</v>
          </cell>
          <cell r="G42">
            <v>894280</v>
          </cell>
          <cell r="H42">
            <v>1056090</v>
          </cell>
          <cell r="I42">
            <v>1161087</v>
          </cell>
          <cell r="J42">
            <v>1251520</v>
          </cell>
          <cell r="K42">
            <v>1321924</v>
          </cell>
          <cell r="L42">
            <v>1399199</v>
          </cell>
          <cell r="M42">
            <v>1483849</v>
          </cell>
          <cell r="N42">
            <v>1576061</v>
          </cell>
          <cell r="O42">
            <v>1741820</v>
          </cell>
          <cell r="P42">
            <v>2015952</v>
          </cell>
          <cell r="T42">
            <v>39</v>
          </cell>
          <cell r="U42" t="str">
            <v>Commercial</v>
          </cell>
          <cell r="X42">
            <v>299165</v>
          </cell>
          <cell r="Y42">
            <v>632617</v>
          </cell>
          <cell r="Z42">
            <v>880945</v>
          </cell>
          <cell r="AA42">
            <v>1048085</v>
          </cell>
          <cell r="AB42">
            <v>1165413</v>
          </cell>
          <cell r="AC42">
            <v>1255027</v>
          </cell>
          <cell r="AD42">
            <v>1327396</v>
          </cell>
          <cell r="AE42">
            <v>1400314</v>
          </cell>
          <cell r="AF42">
            <v>1479942</v>
          </cell>
          <cell r="AG42">
            <v>1576876</v>
          </cell>
          <cell r="AH42">
            <v>1720862</v>
          </cell>
          <cell r="AI42">
            <v>2004885</v>
          </cell>
        </row>
        <row r="43">
          <cell r="A43">
            <v>40</v>
          </cell>
          <cell r="B43" t="str">
            <v xml:space="preserve">Industrial </v>
          </cell>
          <cell r="E43">
            <v>280946</v>
          </cell>
          <cell r="F43">
            <v>542275</v>
          </cell>
          <cell r="G43">
            <v>830829</v>
          </cell>
          <cell r="H43">
            <v>1057568</v>
          </cell>
          <cell r="I43">
            <v>1299037</v>
          </cell>
          <cell r="J43">
            <v>1535841</v>
          </cell>
          <cell r="K43">
            <v>1726532</v>
          </cell>
          <cell r="L43">
            <v>1950147</v>
          </cell>
          <cell r="M43">
            <v>2213536</v>
          </cell>
          <cell r="N43">
            <v>2480932</v>
          </cell>
          <cell r="O43">
            <v>2719005</v>
          </cell>
          <cell r="P43">
            <v>2974686</v>
          </cell>
          <cell r="T43">
            <v>40</v>
          </cell>
          <cell r="U43" t="str">
            <v xml:space="preserve">Industrial </v>
          </cell>
          <cell r="X43">
            <v>282310</v>
          </cell>
          <cell r="Y43">
            <v>567490</v>
          </cell>
          <cell r="Z43">
            <v>857500</v>
          </cell>
          <cell r="AA43">
            <v>1099688</v>
          </cell>
          <cell r="AB43">
            <v>1333122</v>
          </cell>
          <cell r="AC43">
            <v>1567489</v>
          </cell>
          <cell r="AD43">
            <v>1767243</v>
          </cell>
          <cell r="AE43">
            <v>1986761</v>
          </cell>
          <cell r="AF43">
            <v>2237226</v>
          </cell>
          <cell r="AG43">
            <v>2505055</v>
          </cell>
          <cell r="AH43">
            <v>2742803</v>
          </cell>
          <cell r="AI43">
            <v>3036274</v>
          </cell>
        </row>
        <row r="44">
          <cell r="A44">
            <v>41</v>
          </cell>
          <cell r="B44" t="str">
            <v>Other</v>
          </cell>
          <cell r="E44">
            <v>3839</v>
          </cell>
          <cell r="F44">
            <v>6464</v>
          </cell>
          <cell r="G44">
            <v>10045</v>
          </cell>
          <cell r="H44">
            <v>13696</v>
          </cell>
          <cell r="I44">
            <v>19078</v>
          </cell>
          <cell r="J44">
            <v>29393</v>
          </cell>
          <cell r="K44">
            <v>40604</v>
          </cell>
          <cell r="L44">
            <v>55431</v>
          </cell>
          <cell r="M44">
            <v>63349</v>
          </cell>
          <cell r="N44">
            <v>75595</v>
          </cell>
          <cell r="O44">
            <v>84884</v>
          </cell>
          <cell r="P44">
            <v>91114</v>
          </cell>
          <cell r="T44">
            <v>41</v>
          </cell>
          <cell r="U44" t="str">
            <v>Other</v>
          </cell>
          <cell r="X44">
            <v>3618</v>
          </cell>
          <cell r="Y44">
            <v>7255</v>
          </cell>
          <cell r="Z44">
            <v>12781</v>
          </cell>
          <cell r="AA44">
            <v>19042</v>
          </cell>
          <cell r="AB44">
            <v>27848</v>
          </cell>
          <cell r="AC44">
            <v>38031</v>
          </cell>
          <cell r="AD44">
            <v>47726</v>
          </cell>
          <cell r="AE44">
            <v>58381</v>
          </cell>
          <cell r="AF44">
            <v>64753</v>
          </cell>
          <cell r="AG44">
            <v>74024</v>
          </cell>
          <cell r="AH44">
            <v>81889</v>
          </cell>
          <cell r="AI44">
            <v>88045</v>
          </cell>
        </row>
        <row r="45">
          <cell r="A45">
            <v>42</v>
          </cell>
          <cell r="B45" t="str">
            <v>Total Volume</v>
          </cell>
          <cell r="E45">
            <v>1147908</v>
          </cell>
          <cell r="F45">
            <v>2126898</v>
          </cell>
          <cell r="G45">
            <v>3091290</v>
          </cell>
          <cell r="H45">
            <v>3751325</v>
          </cell>
          <cell r="I45">
            <v>4203028</v>
          </cell>
          <cell r="J45">
            <v>4604856</v>
          </cell>
          <cell r="K45">
            <v>4922277</v>
          </cell>
          <cell r="L45">
            <v>5280369</v>
          </cell>
          <cell r="M45">
            <v>5681452</v>
          </cell>
          <cell r="N45">
            <v>6104101</v>
          </cell>
          <cell r="O45">
            <v>6680442</v>
          </cell>
          <cell r="P45">
            <v>7594613</v>
          </cell>
          <cell r="T45">
            <v>42</v>
          </cell>
          <cell r="U45" t="str">
            <v>Total Volume</v>
          </cell>
          <cell r="X45">
            <v>951517</v>
          </cell>
          <cell r="Y45">
            <v>2087892</v>
          </cell>
          <cell r="Z45">
            <v>2999039</v>
          </cell>
          <cell r="AA45">
            <v>3656960</v>
          </cell>
          <cell r="AB45">
            <v>4154823</v>
          </cell>
          <cell r="AC45">
            <v>4555553</v>
          </cell>
          <cell r="AD45">
            <v>4882239</v>
          </cell>
          <cell r="AE45">
            <v>5222900</v>
          </cell>
          <cell r="AF45">
            <v>5601828</v>
          </cell>
          <cell r="AG45">
            <v>6026818</v>
          </cell>
          <cell r="AH45">
            <v>6555988</v>
          </cell>
          <cell r="AI45">
            <v>7487590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- 2016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559342</v>
          </cell>
          <cell r="F48">
            <v>1013150</v>
          </cell>
          <cell r="G48">
            <v>1422868</v>
          </cell>
          <cell r="H48">
            <v>1702999</v>
          </cell>
          <cell r="I48">
            <v>1807304</v>
          </cell>
          <cell r="J48">
            <v>1874444</v>
          </cell>
          <cell r="K48">
            <v>1921735</v>
          </cell>
          <cell r="L48">
            <v>1965969</v>
          </cell>
          <cell r="M48">
            <v>2013215</v>
          </cell>
          <cell r="N48">
            <v>2066506</v>
          </cell>
          <cell r="O48">
            <v>2237783</v>
          </cell>
          <cell r="P48">
            <v>2635109</v>
          </cell>
          <cell r="T48">
            <v>45</v>
          </cell>
          <cell r="U48" t="str">
            <v>Residential</v>
          </cell>
          <cell r="X48">
            <v>388267</v>
          </cell>
          <cell r="Y48">
            <v>931790</v>
          </cell>
          <cell r="Z48">
            <v>1318921</v>
          </cell>
          <cell r="AA48">
            <v>1574809</v>
          </cell>
          <cell r="AB48">
            <v>1720189</v>
          </cell>
          <cell r="AC48">
            <v>1790222</v>
          </cell>
          <cell r="AD48">
            <v>1837632</v>
          </cell>
          <cell r="AE48">
            <v>1877291</v>
          </cell>
          <cell r="AF48">
            <v>1922056</v>
          </cell>
          <cell r="AG48">
            <v>1975694</v>
          </cell>
          <cell r="AH48">
            <v>2122559</v>
          </cell>
          <cell r="AI48">
            <v>2488792</v>
          </cell>
        </row>
        <row r="49">
          <cell r="A49">
            <v>46</v>
          </cell>
          <cell r="B49" t="str">
            <v>Commercial</v>
          </cell>
          <cell r="E49">
            <v>347170</v>
          </cell>
          <cell r="F49">
            <v>643371</v>
          </cell>
          <cell r="G49">
            <v>938239</v>
          </cell>
          <cell r="H49">
            <v>1107478</v>
          </cell>
          <cell r="I49">
            <v>1217154</v>
          </cell>
          <cell r="J49">
            <v>1311617</v>
          </cell>
          <cell r="K49">
            <v>1385417</v>
          </cell>
          <cell r="L49">
            <v>1466081</v>
          </cell>
          <cell r="M49">
            <v>1554707</v>
          </cell>
          <cell r="N49">
            <v>1651450</v>
          </cell>
          <cell r="O49">
            <v>1825391</v>
          </cell>
          <cell r="P49">
            <v>2113441</v>
          </cell>
          <cell r="T49">
            <v>46</v>
          </cell>
          <cell r="U49" t="str">
            <v>Commercial</v>
          </cell>
          <cell r="X49">
            <v>316998</v>
          </cell>
          <cell r="Y49">
            <v>669530</v>
          </cell>
          <cell r="Z49">
            <v>931278</v>
          </cell>
          <cell r="AA49">
            <v>1107768</v>
          </cell>
          <cell r="AB49">
            <v>1231107</v>
          </cell>
          <cell r="AC49">
            <v>1325388</v>
          </cell>
          <cell r="AD49">
            <v>1401857</v>
          </cell>
          <cell r="AE49">
            <v>1478829</v>
          </cell>
          <cell r="AF49">
            <v>1562774</v>
          </cell>
          <cell r="AG49">
            <v>1664810</v>
          </cell>
          <cell r="AH49">
            <v>1816321</v>
          </cell>
          <cell r="AI49">
            <v>2115267</v>
          </cell>
        </row>
        <row r="50">
          <cell r="A50">
            <v>47</v>
          </cell>
          <cell r="B50" t="str">
            <v xml:space="preserve">Industrial </v>
          </cell>
          <cell r="E50">
            <v>295069</v>
          </cell>
          <cell r="F50">
            <v>569180</v>
          </cell>
          <cell r="G50">
            <v>871611</v>
          </cell>
          <cell r="H50">
            <v>1108760</v>
          </cell>
          <cell r="I50">
            <v>1360989</v>
          </cell>
          <cell r="J50">
            <v>1608345</v>
          </cell>
          <cell r="K50">
            <v>1808233</v>
          </cell>
          <cell r="L50">
            <v>2041656</v>
          </cell>
          <cell r="M50">
            <v>2317416</v>
          </cell>
          <cell r="N50">
            <v>2597952</v>
          </cell>
          <cell r="O50">
            <v>2847776</v>
          </cell>
          <cell r="P50">
            <v>3116438</v>
          </cell>
          <cell r="T50">
            <v>47</v>
          </cell>
          <cell r="U50" t="str">
            <v xml:space="preserve">Industrial </v>
          </cell>
          <cell r="X50">
            <v>299138</v>
          </cell>
          <cell r="Y50">
            <v>600636</v>
          </cell>
          <cell r="Z50">
            <v>906318</v>
          </cell>
          <cell r="AA50">
            <v>1162054</v>
          </cell>
          <cell r="AB50">
            <v>1407447</v>
          </cell>
          <cell r="AC50">
            <v>1654020</v>
          </cell>
          <cell r="AD50">
            <v>1865090</v>
          </cell>
          <cell r="AE50">
            <v>2096811</v>
          </cell>
          <cell r="AF50">
            <v>2360856</v>
          </cell>
          <cell r="AG50">
            <v>2642781</v>
          </cell>
          <cell r="AH50">
            <v>2892954</v>
          </cell>
          <cell r="AI50">
            <v>3201844</v>
          </cell>
        </row>
        <row r="51">
          <cell r="A51">
            <v>48</v>
          </cell>
          <cell r="B51" t="str">
            <v>Other</v>
          </cell>
          <cell r="E51">
            <v>4032</v>
          </cell>
          <cell r="F51">
            <v>6785</v>
          </cell>
          <cell r="G51">
            <v>10538</v>
          </cell>
          <cell r="H51">
            <v>14357</v>
          </cell>
          <cell r="I51">
            <v>19979</v>
          </cell>
          <cell r="J51">
            <v>30754</v>
          </cell>
          <cell r="K51">
            <v>42506</v>
          </cell>
          <cell r="L51">
            <v>57983</v>
          </cell>
          <cell r="M51">
            <v>66273</v>
          </cell>
          <cell r="N51">
            <v>79121</v>
          </cell>
          <cell r="O51">
            <v>88869</v>
          </cell>
          <cell r="P51">
            <v>95415</v>
          </cell>
          <cell r="T51">
            <v>48</v>
          </cell>
          <cell r="U51" t="str">
            <v>Other</v>
          </cell>
          <cell r="X51">
            <v>3834</v>
          </cell>
          <cell r="Y51">
            <v>7679</v>
          </cell>
          <cell r="Z51">
            <v>13504</v>
          </cell>
          <cell r="AA51">
            <v>20115</v>
          </cell>
          <cell r="AB51">
            <v>29372</v>
          </cell>
          <cell r="AC51">
            <v>40085</v>
          </cell>
          <cell r="AD51">
            <v>50329</v>
          </cell>
          <cell r="AE51">
            <v>61576</v>
          </cell>
          <cell r="AF51">
            <v>68293</v>
          </cell>
          <cell r="AG51">
            <v>78052</v>
          </cell>
          <cell r="AH51">
            <v>86328</v>
          </cell>
          <cell r="AI51">
            <v>92807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1205613</v>
          </cell>
          <cell r="F52">
            <v>2232486</v>
          </cell>
          <cell r="G52">
            <v>3243256</v>
          </cell>
          <cell r="H52">
            <v>3933594</v>
          </cell>
          <cell r="I52">
            <v>4405426</v>
          </cell>
          <cell r="J52">
            <v>4825160</v>
          </cell>
          <cell r="K52">
            <v>5157891</v>
          </cell>
          <cell r="L52">
            <v>5531689</v>
          </cell>
          <cell r="M52">
            <v>5951611</v>
          </cell>
          <cell r="N52">
            <v>6395029</v>
          </cell>
          <cell r="O52">
            <v>6999819</v>
          </cell>
          <cell r="P52">
            <v>7960403</v>
          </cell>
          <cell r="T52">
            <v>49</v>
          </cell>
          <cell r="U52" t="str">
            <v>Total Volume</v>
          </cell>
          <cell r="W52">
            <v>0</v>
          </cell>
          <cell r="X52">
            <v>1008237</v>
          </cell>
          <cell r="Y52">
            <v>2209635</v>
          </cell>
          <cell r="Z52">
            <v>3170021</v>
          </cell>
          <cell r="AA52">
            <v>3864746</v>
          </cell>
          <cell r="AB52">
            <v>4388115</v>
          </cell>
          <cell r="AC52">
            <v>4809715</v>
          </cell>
          <cell r="AD52">
            <v>5154908</v>
          </cell>
          <cell r="AE52">
            <v>5514507</v>
          </cell>
          <cell r="AF52">
            <v>5913979</v>
          </cell>
          <cell r="AG52">
            <v>6361337</v>
          </cell>
          <cell r="AH52">
            <v>6918162</v>
          </cell>
          <cell r="AI52">
            <v>7898710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51145</v>
          </cell>
          <cell r="F55">
            <v>51251</v>
          </cell>
          <cell r="G55">
            <v>51314</v>
          </cell>
          <cell r="H55">
            <v>51345</v>
          </cell>
          <cell r="I55">
            <v>51359</v>
          </cell>
          <cell r="J55">
            <v>51352</v>
          </cell>
          <cell r="K55">
            <v>51357</v>
          </cell>
          <cell r="L55">
            <v>51369</v>
          </cell>
          <cell r="M55">
            <v>51398</v>
          </cell>
          <cell r="N55">
            <v>51482</v>
          </cell>
          <cell r="O55">
            <v>51598</v>
          </cell>
          <cell r="P55">
            <v>51732</v>
          </cell>
        </row>
        <row r="56">
          <cell r="A56">
            <v>53</v>
          </cell>
          <cell r="B56" t="str">
            <v>Cumulative Budget YTD Volume (Mcfs)</v>
          </cell>
          <cell r="E56">
            <v>1108900</v>
          </cell>
          <cell r="F56">
            <v>2307978</v>
          </cell>
          <cell r="G56">
            <v>3354710</v>
          </cell>
          <cell r="H56">
            <v>4072018</v>
          </cell>
          <cell r="I56">
            <v>4567790</v>
          </cell>
          <cell r="J56">
            <v>4924505</v>
          </cell>
          <cell r="K56">
            <v>5272643</v>
          </cell>
          <cell r="L56">
            <v>5597560</v>
          </cell>
          <cell r="M56">
            <v>5979957</v>
          </cell>
          <cell r="N56">
            <v>6454756</v>
          </cell>
          <cell r="O56">
            <v>7036235</v>
          </cell>
          <cell r="P56">
            <v>7971994</v>
          </cell>
        </row>
        <row r="57">
          <cell r="A57">
            <v>54</v>
          </cell>
          <cell r="B57" t="str">
            <v>Cumulative YTD Budget Volume (Dts) * 1.035</v>
          </cell>
          <cell r="E57">
            <v>1147711.5</v>
          </cell>
          <cell r="F57">
            <v>2388757.23</v>
          </cell>
          <cell r="G57">
            <v>3472124.8499999996</v>
          </cell>
          <cell r="H57">
            <v>4214538.63</v>
          </cell>
          <cell r="I57">
            <v>4727662.6499999994</v>
          </cell>
          <cell r="J57">
            <v>5096862.6749999998</v>
          </cell>
          <cell r="K57">
            <v>5457185.5049999999</v>
          </cell>
          <cell r="L57">
            <v>5793474.5999999996</v>
          </cell>
          <cell r="M57">
            <v>6189255.4949999992</v>
          </cell>
          <cell r="N57">
            <v>6680672.459999999</v>
          </cell>
          <cell r="O57">
            <v>7282503.2249999987</v>
          </cell>
          <cell r="P57">
            <v>8251013.7899999991</v>
          </cell>
        </row>
      </sheetData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10999.5</v>
          </cell>
          <cell r="E5">
            <v>11291</v>
          </cell>
          <cell r="F5">
            <v>11334</v>
          </cell>
          <cell r="G5">
            <v>11302</v>
          </cell>
          <cell r="H5">
            <v>11219</v>
          </cell>
          <cell r="I5">
            <v>11058</v>
          </cell>
          <cell r="J5">
            <v>10856</v>
          </cell>
          <cell r="K5">
            <v>10737</v>
          </cell>
          <cell r="L5">
            <v>10720</v>
          </cell>
          <cell r="M5">
            <v>10691</v>
          </cell>
          <cell r="N5">
            <v>10732</v>
          </cell>
          <cell r="O5">
            <v>10897</v>
          </cell>
          <cell r="P5">
            <v>11157</v>
          </cell>
          <cell r="T5">
            <v>2</v>
          </cell>
          <cell r="U5" t="str">
            <v>Residential</v>
          </cell>
          <cell r="V5">
            <v>11035</v>
          </cell>
          <cell r="W5">
            <v>132416</v>
          </cell>
          <cell r="X5">
            <v>11226</v>
          </cell>
          <cell r="Y5">
            <v>11343</v>
          </cell>
          <cell r="Z5">
            <v>11337</v>
          </cell>
          <cell r="AA5">
            <v>11308</v>
          </cell>
          <cell r="AB5">
            <v>11150</v>
          </cell>
          <cell r="AC5">
            <v>10993</v>
          </cell>
          <cell r="AD5">
            <v>10843</v>
          </cell>
          <cell r="AE5">
            <v>10765</v>
          </cell>
          <cell r="AF5">
            <v>10714</v>
          </cell>
          <cell r="AG5">
            <v>10740</v>
          </cell>
          <cell r="AH5">
            <v>10877</v>
          </cell>
          <cell r="AI5">
            <v>11120</v>
          </cell>
        </row>
        <row r="6">
          <cell r="A6">
            <v>3</v>
          </cell>
          <cell r="B6" t="str">
            <v>Commercial</v>
          </cell>
          <cell r="D6">
            <v>1844.6666666666667</v>
          </cell>
          <cell r="E6">
            <v>1876</v>
          </cell>
          <cell r="F6">
            <v>1871</v>
          </cell>
          <cell r="G6">
            <v>1876</v>
          </cell>
          <cell r="H6">
            <v>1874</v>
          </cell>
          <cell r="I6">
            <v>1837</v>
          </cell>
          <cell r="J6">
            <v>1813</v>
          </cell>
          <cell r="K6">
            <v>1816</v>
          </cell>
          <cell r="L6">
            <v>1812</v>
          </cell>
          <cell r="M6">
            <v>1813</v>
          </cell>
          <cell r="N6">
            <v>1812</v>
          </cell>
          <cell r="O6">
            <v>1849</v>
          </cell>
          <cell r="P6">
            <v>1887</v>
          </cell>
          <cell r="T6">
            <v>3</v>
          </cell>
          <cell r="U6" t="str">
            <v>Commercial</v>
          </cell>
          <cell r="V6">
            <v>1827</v>
          </cell>
          <cell r="W6">
            <v>21918</v>
          </cell>
          <cell r="X6">
            <v>1851</v>
          </cell>
          <cell r="Y6">
            <v>1861</v>
          </cell>
          <cell r="Z6">
            <v>1864</v>
          </cell>
          <cell r="AA6">
            <v>1847</v>
          </cell>
          <cell r="AB6">
            <v>1825</v>
          </cell>
          <cell r="AC6">
            <v>1816</v>
          </cell>
          <cell r="AD6">
            <v>1813</v>
          </cell>
          <cell r="AE6">
            <v>1794</v>
          </cell>
          <cell r="AF6">
            <v>1789</v>
          </cell>
          <cell r="AG6">
            <v>1792</v>
          </cell>
          <cell r="AH6">
            <v>1816</v>
          </cell>
          <cell r="AI6">
            <v>1850</v>
          </cell>
        </row>
        <row r="7">
          <cell r="A7">
            <v>4</v>
          </cell>
          <cell r="B7" t="str">
            <v xml:space="preserve">Industrial </v>
          </cell>
          <cell r="D7">
            <v>41.333333333333336</v>
          </cell>
          <cell r="E7">
            <v>40</v>
          </cell>
          <cell r="F7">
            <v>40</v>
          </cell>
          <cell r="G7">
            <v>41</v>
          </cell>
          <cell r="H7">
            <v>40</v>
          </cell>
          <cell r="I7">
            <v>40</v>
          </cell>
          <cell r="J7">
            <v>40</v>
          </cell>
          <cell r="K7">
            <v>41</v>
          </cell>
          <cell r="L7">
            <v>41</v>
          </cell>
          <cell r="M7">
            <v>42</v>
          </cell>
          <cell r="N7">
            <v>43</v>
          </cell>
          <cell r="O7">
            <v>44</v>
          </cell>
          <cell r="P7">
            <v>44</v>
          </cell>
          <cell r="T7">
            <v>4</v>
          </cell>
          <cell r="U7" t="str">
            <v xml:space="preserve">Industrial </v>
          </cell>
          <cell r="V7">
            <v>39</v>
          </cell>
          <cell r="W7">
            <v>470</v>
          </cell>
          <cell r="X7">
            <v>38</v>
          </cell>
          <cell r="Y7">
            <v>38</v>
          </cell>
          <cell r="Z7">
            <v>38</v>
          </cell>
          <cell r="AA7">
            <v>38</v>
          </cell>
          <cell r="AB7">
            <v>39</v>
          </cell>
          <cell r="AC7">
            <v>39</v>
          </cell>
          <cell r="AD7">
            <v>40</v>
          </cell>
          <cell r="AE7">
            <v>40</v>
          </cell>
          <cell r="AF7">
            <v>40</v>
          </cell>
          <cell r="AG7">
            <v>40</v>
          </cell>
          <cell r="AH7">
            <v>40</v>
          </cell>
          <cell r="AI7">
            <v>40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12885.5</v>
          </cell>
          <cell r="E9">
            <v>13207</v>
          </cell>
          <cell r="F9">
            <v>13245</v>
          </cell>
          <cell r="G9">
            <v>13219</v>
          </cell>
          <cell r="H9">
            <v>13133</v>
          </cell>
          <cell r="I9">
            <v>12935</v>
          </cell>
          <cell r="J9">
            <v>12709</v>
          </cell>
          <cell r="K9">
            <v>12594</v>
          </cell>
          <cell r="L9">
            <v>12573</v>
          </cell>
          <cell r="M9">
            <v>12546</v>
          </cell>
          <cell r="N9">
            <v>12587</v>
          </cell>
          <cell r="O9">
            <v>12790</v>
          </cell>
          <cell r="P9">
            <v>13088</v>
          </cell>
          <cell r="T9">
            <v>6</v>
          </cell>
          <cell r="U9" t="str">
            <v>Total customers</v>
          </cell>
          <cell r="V9">
            <v>12901</v>
          </cell>
          <cell r="W9">
            <v>154804</v>
          </cell>
          <cell r="X9">
            <v>13115</v>
          </cell>
          <cell r="Y9">
            <v>13242</v>
          </cell>
          <cell r="Z9">
            <v>13239</v>
          </cell>
          <cell r="AA9">
            <v>13193</v>
          </cell>
          <cell r="AB9">
            <v>13014</v>
          </cell>
          <cell r="AC9">
            <v>12848</v>
          </cell>
          <cell r="AD9">
            <v>12696</v>
          </cell>
          <cell r="AE9">
            <v>12599</v>
          </cell>
          <cell r="AF9">
            <v>12543</v>
          </cell>
          <cell r="AG9">
            <v>12572</v>
          </cell>
          <cell r="AH9">
            <v>12733</v>
          </cell>
          <cell r="AI9">
            <v>13010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- 2017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479043.8</v>
          </cell>
          <cell r="E12">
            <v>99754</v>
          </cell>
          <cell r="F12">
            <v>86359</v>
          </cell>
          <cell r="G12">
            <v>68269</v>
          </cell>
          <cell r="H12">
            <v>55953</v>
          </cell>
          <cell r="I12">
            <v>18315</v>
          </cell>
          <cell r="J12">
            <v>12836.8</v>
          </cell>
          <cell r="K12">
            <v>9060</v>
          </cell>
          <cell r="L12">
            <v>8414</v>
          </cell>
          <cell r="M12">
            <v>9029</v>
          </cell>
          <cell r="N12">
            <v>10415</v>
          </cell>
          <cell r="O12">
            <v>28797</v>
          </cell>
          <cell r="P12">
            <v>71842</v>
          </cell>
          <cell r="T12">
            <v>9</v>
          </cell>
          <cell r="U12" t="str">
            <v>Residential</v>
          </cell>
          <cell r="W12">
            <v>476810</v>
          </cell>
          <cell r="X12">
            <v>69314</v>
          </cell>
          <cell r="Y12">
            <v>100309</v>
          </cell>
          <cell r="Z12">
            <v>83121</v>
          </cell>
          <cell r="AA12">
            <v>47236</v>
          </cell>
          <cell r="AB12">
            <v>30343</v>
          </cell>
          <cell r="AC12">
            <v>15152</v>
          </cell>
          <cell r="AD12">
            <v>8857</v>
          </cell>
          <cell r="AE12">
            <v>7993</v>
          </cell>
          <cell r="AF12">
            <v>8653</v>
          </cell>
          <cell r="AG12">
            <v>10803</v>
          </cell>
          <cell r="AH12">
            <v>28049</v>
          </cell>
          <cell r="AI12">
            <v>66980</v>
          </cell>
        </row>
        <row r="13">
          <cell r="A13">
            <v>10</v>
          </cell>
          <cell r="B13" t="str">
            <v>Commercial</v>
          </cell>
          <cell r="C13">
            <v>774911</v>
          </cell>
          <cell r="E13">
            <v>121684</v>
          </cell>
          <cell r="F13">
            <v>109246</v>
          </cell>
          <cell r="G13">
            <v>101719</v>
          </cell>
          <cell r="H13">
            <v>69580</v>
          </cell>
          <cell r="I13">
            <v>44117</v>
          </cell>
          <cell r="J13">
            <v>39428</v>
          </cell>
          <cell r="K13">
            <v>31739</v>
          </cell>
          <cell r="L13">
            <v>33782</v>
          </cell>
          <cell r="M13">
            <v>35271</v>
          </cell>
          <cell r="N13">
            <v>40468</v>
          </cell>
          <cell r="O13">
            <v>61915</v>
          </cell>
          <cell r="P13">
            <v>85962</v>
          </cell>
          <cell r="T13">
            <v>10</v>
          </cell>
          <cell r="U13" t="str">
            <v>Commercial</v>
          </cell>
          <cell r="W13">
            <v>804855</v>
          </cell>
          <cell r="X13">
            <v>95392</v>
          </cell>
          <cell r="Y13">
            <v>125552</v>
          </cell>
          <cell r="Z13">
            <v>106532</v>
          </cell>
          <cell r="AA13">
            <v>69664</v>
          </cell>
          <cell r="AB13">
            <v>54827</v>
          </cell>
          <cell r="AC13">
            <v>40729</v>
          </cell>
          <cell r="AD13">
            <v>32851</v>
          </cell>
          <cell r="AE13">
            <v>32580</v>
          </cell>
          <cell r="AF13">
            <v>37045</v>
          </cell>
          <cell r="AG13">
            <v>44487</v>
          </cell>
          <cell r="AH13">
            <v>61333</v>
          </cell>
          <cell r="AI13">
            <v>103863</v>
          </cell>
        </row>
        <row r="14">
          <cell r="A14">
            <v>11</v>
          </cell>
          <cell r="B14" t="str">
            <v xml:space="preserve">Industrial </v>
          </cell>
          <cell r="C14">
            <v>1708693</v>
          </cell>
          <cell r="E14">
            <v>144498</v>
          </cell>
          <cell r="F14">
            <v>135377</v>
          </cell>
          <cell r="G14">
            <v>153792</v>
          </cell>
          <cell r="H14">
            <v>127641</v>
          </cell>
          <cell r="I14">
            <v>132505</v>
          </cell>
          <cell r="J14">
            <v>135513</v>
          </cell>
          <cell r="K14">
            <v>117517</v>
          </cell>
          <cell r="L14">
            <v>147875</v>
          </cell>
          <cell r="M14">
            <v>124575</v>
          </cell>
          <cell r="N14">
            <v>151247</v>
          </cell>
          <cell r="O14">
            <v>175588</v>
          </cell>
          <cell r="P14">
            <v>162565</v>
          </cell>
          <cell r="T14">
            <v>11</v>
          </cell>
          <cell r="U14" t="str">
            <v xml:space="preserve">Industrial </v>
          </cell>
          <cell r="W14">
            <v>1640298</v>
          </cell>
          <cell r="X14">
            <v>140418</v>
          </cell>
          <cell r="Y14">
            <v>137864</v>
          </cell>
          <cell r="Z14">
            <v>142627</v>
          </cell>
          <cell r="AA14">
            <v>130717</v>
          </cell>
          <cell r="AB14">
            <v>119334</v>
          </cell>
          <cell r="AC14">
            <v>133093</v>
          </cell>
          <cell r="AD14">
            <v>112375</v>
          </cell>
          <cell r="AE14">
            <v>131056</v>
          </cell>
          <cell r="AF14">
            <v>141273</v>
          </cell>
          <cell r="AG14">
            <v>149609</v>
          </cell>
          <cell r="AH14">
            <v>144214</v>
          </cell>
          <cell r="AI14">
            <v>157718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2962647.8</v>
          </cell>
          <cell r="E16">
            <v>365936</v>
          </cell>
          <cell r="F16">
            <v>330982</v>
          </cell>
          <cell r="G16">
            <v>323780</v>
          </cell>
          <cell r="H16">
            <v>253174</v>
          </cell>
          <cell r="I16">
            <v>194937</v>
          </cell>
          <cell r="J16">
            <v>187777.8</v>
          </cell>
          <cell r="K16">
            <v>158316</v>
          </cell>
          <cell r="L16">
            <v>190071</v>
          </cell>
          <cell r="M16">
            <v>168875</v>
          </cell>
          <cell r="N16">
            <v>202130</v>
          </cell>
          <cell r="O16">
            <v>266300</v>
          </cell>
          <cell r="P16">
            <v>320369</v>
          </cell>
          <cell r="T16">
            <v>13</v>
          </cell>
          <cell r="U16" t="str">
            <v>Total Deliveries</v>
          </cell>
          <cell r="W16">
            <v>2921963</v>
          </cell>
          <cell r="X16">
            <v>305124</v>
          </cell>
          <cell r="Y16">
            <v>363725</v>
          </cell>
          <cell r="Z16">
            <v>332280</v>
          </cell>
          <cell r="AA16">
            <v>247617</v>
          </cell>
          <cell r="AB16">
            <v>204504</v>
          </cell>
          <cell r="AC16">
            <v>188974</v>
          </cell>
          <cell r="AD16">
            <v>154083</v>
          </cell>
          <cell r="AE16">
            <v>171629</v>
          </cell>
          <cell r="AF16">
            <v>186971</v>
          </cell>
          <cell r="AG16">
            <v>204899</v>
          </cell>
          <cell r="AH16">
            <v>233596</v>
          </cell>
          <cell r="AI16">
            <v>328561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502370</v>
          </cell>
          <cell r="E21">
            <v>104769</v>
          </cell>
          <cell r="F21">
            <v>90583</v>
          </cell>
          <cell r="G21">
            <v>71552</v>
          </cell>
          <cell r="H21">
            <v>58522</v>
          </cell>
          <cell r="I21">
            <v>19131</v>
          </cell>
          <cell r="J21">
            <v>13446</v>
          </cell>
          <cell r="K21">
            <v>9497</v>
          </cell>
          <cell r="L21">
            <v>8783</v>
          </cell>
          <cell r="M21">
            <v>9453</v>
          </cell>
          <cell r="N21">
            <v>10927</v>
          </cell>
          <cell r="O21">
            <v>30218</v>
          </cell>
          <cell r="P21">
            <v>75489</v>
          </cell>
          <cell r="T21">
            <v>18</v>
          </cell>
          <cell r="U21" t="str">
            <v>Residential</v>
          </cell>
          <cell r="W21">
            <v>503128</v>
          </cell>
          <cell r="X21">
            <v>73446</v>
          </cell>
          <cell r="Y21">
            <v>106049</v>
          </cell>
          <cell r="Z21">
            <v>87613</v>
          </cell>
          <cell r="AA21">
            <v>49878</v>
          </cell>
          <cell r="AB21">
            <v>31897</v>
          </cell>
          <cell r="AC21">
            <v>15941</v>
          </cell>
          <cell r="AD21">
            <v>9359</v>
          </cell>
          <cell r="AE21">
            <v>8437</v>
          </cell>
          <cell r="AF21">
            <v>9122</v>
          </cell>
          <cell r="AG21">
            <v>11372</v>
          </cell>
          <cell r="AH21">
            <v>29515</v>
          </cell>
          <cell r="AI21">
            <v>70499</v>
          </cell>
        </row>
        <row r="22">
          <cell r="A22">
            <v>19</v>
          </cell>
          <cell r="B22" t="str">
            <v>Commercial</v>
          </cell>
          <cell r="D22">
            <v>812373</v>
          </cell>
          <cell r="E22">
            <v>127801</v>
          </cell>
          <cell r="F22">
            <v>114589</v>
          </cell>
          <cell r="G22">
            <v>106611</v>
          </cell>
          <cell r="H22">
            <v>72774</v>
          </cell>
          <cell r="I22">
            <v>46083</v>
          </cell>
          <cell r="J22">
            <v>41299</v>
          </cell>
          <cell r="K22">
            <v>33270</v>
          </cell>
          <cell r="L22">
            <v>35264</v>
          </cell>
          <cell r="M22">
            <v>36928</v>
          </cell>
          <cell r="N22">
            <v>42457</v>
          </cell>
          <cell r="O22">
            <v>64971</v>
          </cell>
          <cell r="P22">
            <v>90326</v>
          </cell>
          <cell r="T22">
            <v>19</v>
          </cell>
          <cell r="U22" t="str">
            <v>Commercial</v>
          </cell>
          <cell r="W22">
            <v>848993</v>
          </cell>
          <cell r="X22">
            <v>101078</v>
          </cell>
          <cell r="Y22">
            <v>132736</v>
          </cell>
          <cell r="Z22">
            <v>112289</v>
          </cell>
          <cell r="AA22">
            <v>73561</v>
          </cell>
          <cell r="AB22">
            <v>57636</v>
          </cell>
          <cell r="AC22">
            <v>42850</v>
          </cell>
          <cell r="AD22">
            <v>34712</v>
          </cell>
          <cell r="AE22">
            <v>34391</v>
          </cell>
          <cell r="AF22">
            <v>39054</v>
          </cell>
          <cell r="AG22">
            <v>46828</v>
          </cell>
          <cell r="AH22">
            <v>64538</v>
          </cell>
          <cell r="AI22">
            <v>109320</v>
          </cell>
        </row>
        <row r="23">
          <cell r="A23">
            <v>20</v>
          </cell>
          <cell r="B23" t="str">
            <v xml:space="preserve">Industrial </v>
          </cell>
          <cell r="D23">
            <v>1790526</v>
          </cell>
          <cell r="E23">
            <v>151762</v>
          </cell>
          <cell r="F23">
            <v>141998</v>
          </cell>
          <cell r="G23">
            <v>161188</v>
          </cell>
          <cell r="H23">
            <v>133501</v>
          </cell>
          <cell r="I23">
            <v>138409</v>
          </cell>
          <cell r="J23">
            <v>141944</v>
          </cell>
          <cell r="K23">
            <v>123185</v>
          </cell>
          <cell r="L23">
            <v>154361</v>
          </cell>
          <cell r="M23">
            <v>130426</v>
          </cell>
          <cell r="N23">
            <v>158679</v>
          </cell>
          <cell r="O23">
            <v>184255</v>
          </cell>
          <cell r="P23">
            <v>170818</v>
          </cell>
          <cell r="T23">
            <v>20</v>
          </cell>
          <cell r="U23" t="str">
            <v xml:space="preserve">Industrial </v>
          </cell>
          <cell r="W23">
            <v>1729630</v>
          </cell>
          <cell r="X23">
            <v>148788</v>
          </cell>
          <cell r="Y23">
            <v>145753</v>
          </cell>
          <cell r="Z23">
            <v>150335</v>
          </cell>
          <cell r="AA23">
            <v>138029</v>
          </cell>
          <cell r="AB23">
            <v>125447</v>
          </cell>
          <cell r="AC23">
            <v>140024</v>
          </cell>
          <cell r="AD23">
            <v>118741</v>
          </cell>
          <cell r="AE23">
            <v>138341</v>
          </cell>
          <cell r="AF23">
            <v>148933</v>
          </cell>
          <cell r="AG23">
            <v>157483</v>
          </cell>
          <cell r="AH23">
            <v>151751</v>
          </cell>
          <cell r="AI23">
            <v>166005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3105269</v>
          </cell>
          <cell r="E25">
            <v>384332</v>
          </cell>
          <cell r="F25">
            <v>347170</v>
          </cell>
          <cell r="G25">
            <v>339351</v>
          </cell>
          <cell r="H25">
            <v>264797</v>
          </cell>
          <cell r="I25">
            <v>203623</v>
          </cell>
          <cell r="J25">
            <v>196689</v>
          </cell>
          <cell r="K25">
            <v>165952</v>
          </cell>
          <cell r="L25">
            <v>198408</v>
          </cell>
          <cell r="M25">
            <v>176807</v>
          </cell>
          <cell r="N25">
            <v>212063</v>
          </cell>
          <cell r="O25">
            <v>279444</v>
          </cell>
          <cell r="P25">
            <v>336633</v>
          </cell>
          <cell r="T25">
            <v>22</v>
          </cell>
          <cell r="U25" t="str">
            <v>Total Deliveries</v>
          </cell>
          <cell r="W25">
            <v>3081751</v>
          </cell>
          <cell r="X25">
            <v>323312</v>
          </cell>
          <cell r="Y25">
            <v>384538</v>
          </cell>
          <cell r="Z25">
            <v>350237</v>
          </cell>
          <cell r="AA25">
            <v>261468</v>
          </cell>
          <cell r="AB25">
            <v>214980</v>
          </cell>
          <cell r="AC25">
            <v>198815</v>
          </cell>
          <cell r="AD25">
            <v>162812</v>
          </cell>
          <cell r="AE25">
            <v>181169</v>
          </cell>
          <cell r="AF25">
            <v>197109</v>
          </cell>
          <cell r="AG25">
            <v>215683</v>
          </cell>
          <cell r="AH25">
            <v>245804</v>
          </cell>
          <cell r="AI25">
            <v>345824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13220</v>
          </cell>
          <cell r="F28">
            <v>13306</v>
          </cell>
          <cell r="G28">
            <v>13309</v>
          </cell>
          <cell r="H28">
            <v>13285</v>
          </cell>
          <cell r="I28">
            <v>13113</v>
          </cell>
          <cell r="J28">
            <v>12732</v>
          </cell>
          <cell r="K28">
            <v>12573</v>
          </cell>
          <cell r="L28">
            <v>12579</v>
          </cell>
          <cell r="M28">
            <v>12602</v>
          </cell>
          <cell r="N28">
            <v>12726</v>
          </cell>
          <cell r="O28">
            <v>13063</v>
          </cell>
          <cell r="P28">
            <v>13296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353041</v>
          </cell>
          <cell r="F29">
            <v>379475</v>
          </cell>
          <cell r="G29">
            <v>363052</v>
          </cell>
          <cell r="H29">
            <v>275554</v>
          </cell>
          <cell r="I29">
            <v>211149</v>
          </cell>
          <cell r="J29">
            <v>173079</v>
          </cell>
          <cell r="K29">
            <v>159903</v>
          </cell>
          <cell r="L29">
            <v>162640</v>
          </cell>
          <cell r="M29">
            <v>188410</v>
          </cell>
          <cell r="N29">
            <v>221491</v>
          </cell>
          <cell r="O29">
            <v>238874</v>
          </cell>
          <cell r="P29">
            <v>325169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365397.435</v>
          </cell>
          <cell r="F30">
            <v>392756.62499999994</v>
          </cell>
          <cell r="G30">
            <v>375758.81999999995</v>
          </cell>
          <cell r="H30">
            <v>285198.38999999996</v>
          </cell>
          <cell r="I30">
            <v>218539.215</v>
          </cell>
          <cell r="J30">
            <v>179136.76499999998</v>
          </cell>
          <cell r="K30">
            <v>165499.60499999998</v>
          </cell>
          <cell r="L30">
            <v>168332.4</v>
          </cell>
          <cell r="M30">
            <v>195004.34999999998</v>
          </cell>
          <cell r="N30">
            <v>229243.18499999997</v>
          </cell>
          <cell r="O30">
            <v>247234.58999999997</v>
          </cell>
          <cell r="P30">
            <v>336549.91499999998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11291</v>
          </cell>
          <cell r="F34">
            <v>11313</v>
          </cell>
          <cell r="G34">
            <v>11309</v>
          </cell>
          <cell r="H34">
            <v>11287</v>
          </cell>
          <cell r="I34">
            <v>11241</v>
          </cell>
          <cell r="J34">
            <v>11177</v>
          </cell>
          <cell r="K34">
            <v>11114</v>
          </cell>
          <cell r="L34">
            <v>11065</v>
          </cell>
          <cell r="M34">
            <v>11023</v>
          </cell>
          <cell r="N34">
            <v>10994</v>
          </cell>
          <cell r="O34">
            <v>10985</v>
          </cell>
          <cell r="P34">
            <v>11000</v>
          </cell>
          <cell r="T34">
            <v>31</v>
          </cell>
          <cell r="U34" t="str">
            <v>Residential</v>
          </cell>
          <cell r="X34">
            <v>11226</v>
          </cell>
          <cell r="Y34">
            <v>11285</v>
          </cell>
          <cell r="Z34">
            <v>11302</v>
          </cell>
          <cell r="AA34">
            <v>11304</v>
          </cell>
          <cell r="AB34">
            <v>11273</v>
          </cell>
          <cell r="AC34">
            <v>11226</v>
          </cell>
          <cell r="AD34">
            <v>11171</v>
          </cell>
          <cell r="AE34">
            <v>11121</v>
          </cell>
          <cell r="AF34">
            <v>11075</v>
          </cell>
          <cell r="AG34">
            <v>11042</v>
          </cell>
          <cell r="AH34">
            <v>11027</v>
          </cell>
          <cell r="AI34">
            <v>11035</v>
          </cell>
        </row>
        <row r="35">
          <cell r="A35">
            <v>32</v>
          </cell>
          <cell r="B35" t="str">
            <v>Commercial</v>
          </cell>
          <cell r="E35">
            <v>1876</v>
          </cell>
          <cell r="F35">
            <v>1874</v>
          </cell>
          <cell r="G35">
            <v>1874</v>
          </cell>
          <cell r="H35">
            <v>1874</v>
          </cell>
          <cell r="I35">
            <v>1867</v>
          </cell>
          <cell r="J35">
            <v>1858</v>
          </cell>
          <cell r="K35">
            <v>1852</v>
          </cell>
          <cell r="L35">
            <v>1847</v>
          </cell>
          <cell r="M35">
            <v>1843</v>
          </cell>
          <cell r="N35">
            <v>1840</v>
          </cell>
          <cell r="O35">
            <v>1841</v>
          </cell>
          <cell r="P35">
            <v>1845</v>
          </cell>
          <cell r="T35">
            <v>32</v>
          </cell>
          <cell r="U35" t="str">
            <v>Commercial</v>
          </cell>
          <cell r="X35">
            <v>1851</v>
          </cell>
          <cell r="Y35">
            <v>1856</v>
          </cell>
          <cell r="Z35">
            <v>1859</v>
          </cell>
          <cell r="AA35">
            <v>1856</v>
          </cell>
          <cell r="AB35">
            <v>1850</v>
          </cell>
          <cell r="AC35">
            <v>1844</v>
          </cell>
          <cell r="AD35">
            <v>1840</v>
          </cell>
          <cell r="AE35">
            <v>1834</v>
          </cell>
          <cell r="AF35">
            <v>1829</v>
          </cell>
          <cell r="AG35">
            <v>1825</v>
          </cell>
          <cell r="AH35">
            <v>1824</v>
          </cell>
          <cell r="AI35">
            <v>1827</v>
          </cell>
        </row>
        <row r="36">
          <cell r="A36">
            <v>33</v>
          </cell>
          <cell r="B36" t="str">
            <v xml:space="preserve">Industrial </v>
          </cell>
          <cell r="E36">
            <v>40</v>
          </cell>
          <cell r="F36">
            <v>40</v>
          </cell>
          <cell r="G36">
            <v>40</v>
          </cell>
          <cell r="H36">
            <v>40</v>
          </cell>
          <cell r="I36">
            <v>40</v>
          </cell>
          <cell r="J36">
            <v>40</v>
          </cell>
          <cell r="K36">
            <v>40</v>
          </cell>
          <cell r="L36">
            <v>40</v>
          </cell>
          <cell r="M36">
            <v>41</v>
          </cell>
          <cell r="N36">
            <v>41</v>
          </cell>
          <cell r="O36">
            <v>41</v>
          </cell>
          <cell r="P36">
            <v>41</v>
          </cell>
          <cell r="T36">
            <v>33</v>
          </cell>
          <cell r="U36" t="str">
            <v xml:space="preserve">Industrial </v>
          </cell>
          <cell r="X36">
            <v>38</v>
          </cell>
          <cell r="Y36">
            <v>38</v>
          </cell>
          <cell r="Z36">
            <v>38</v>
          </cell>
          <cell r="AA36">
            <v>38</v>
          </cell>
          <cell r="AB36">
            <v>38</v>
          </cell>
          <cell r="AC36">
            <v>38</v>
          </cell>
          <cell r="AD36">
            <v>39</v>
          </cell>
          <cell r="AE36">
            <v>39</v>
          </cell>
          <cell r="AF36">
            <v>39</v>
          </cell>
          <cell r="AG36">
            <v>39</v>
          </cell>
          <cell r="AH36">
            <v>39</v>
          </cell>
          <cell r="AI36">
            <v>39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13207</v>
          </cell>
          <cell r="F38">
            <v>13227</v>
          </cell>
          <cell r="G38">
            <v>13223</v>
          </cell>
          <cell r="H38">
            <v>13201</v>
          </cell>
          <cell r="I38">
            <v>13148</v>
          </cell>
          <cell r="J38">
            <v>13075</v>
          </cell>
          <cell r="K38">
            <v>13006</v>
          </cell>
          <cell r="L38">
            <v>12952</v>
          </cell>
          <cell r="M38">
            <v>12907</v>
          </cell>
          <cell r="N38">
            <v>12875</v>
          </cell>
          <cell r="O38">
            <v>12867</v>
          </cell>
          <cell r="P38">
            <v>12886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13115</v>
          </cell>
          <cell r="Y38">
            <v>13179</v>
          </cell>
          <cell r="Z38">
            <v>13199</v>
          </cell>
          <cell r="AA38">
            <v>13198</v>
          </cell>
          <cell r="AB38">
            <v>13161</v>
          </cell>
          <cell r="AC38">
            <v>13108</v>
          </cell>
          <cell r="AD38">
            <v>13050</v>
          </cell>
          <cell r="AE38">
            <v>12994</v>
          </cell>
          <cell r="AF38">
            <v>12943</v>
          </cell>
          <cell r="AG38">
            <v>12906</v>
          </cell>
          <cell r="AH38">
            <v>12890</v>
          </cell>
          <cell r="AI38">
            <v>12901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99754</v>
          </cell>
          <cell r="F41">
            <v>186113</v>
          </cell>
          <cell r="G41">
            <v>254382</v>
          </cell>
          <cell r="H41">
            <v>310335</v>
          </cell>
          <cell r="I41">
            <v>328650</v>
          </cell>
          <cell r="J41">
            <v>341486.8</v>
          </cell>
          <cell r="K41">
            <v>350546.8</v>
          </cell>
          <cell r="L41">
            <v>358960.8</v>
          </cell>
          <cell r="M41">
            <v>367989.8</v>
          </cell>
          <cell r="N41">
            <v>378404.8</v>
          </cell>
          <cell r="O41">
            <v>407201.8</v>
          </cell>
          <cell r="P41">
            <v>479043.8</v>
          </cell>
          <cell r="T41">
            <v>38</v>
          </cell>
          <cell r="U41" t="str">
            <v>Residential</v>
          </cell>
          <cell r="X41">
            <v>69314</v>
          </cell>
          <cell r="Y41">
            <v>169623</v>
          </cell>
          <cell r="Z41">
            <v>252744</v>
          </cell>
          <cell r="AA41">
            <v>299980</v>
          </cell>
          <cell r="AB41">
            <v>330323</v>
          </cell>
          <cell r="AC41">
            <v>345475</v>
          </cell>
          <cell r="AD41">
            <v>354332</v>
          </cell>
          <cell r="AE41">
            <v>362325</v>
          </cell>
          <cell r="AF41">
            <v>370978</v>
          </cell>
          <cell r="AG41">
            <v>381781</v>
          </cell>
          <cell r="AH41">
            <v>409830</v>
          </cell>
          <cell r="AI41">
            <v>476810</v>
          </cell>
        </row>
        <row r="42">
          <cell r="A42">
            <v>39</v>
          </cell>
          <cell r="B42" t="str">
            <v>Commercial</v>
          </cell>
          <cell r="E42">
            <v>121684</v>
          </cell>
          <cell r="F42">
            <v>230930</v>
          </cell>
          <cell r="G42">
            <v>332649</v>
          </cell>
          <cell r="H42">
            <v>402229</v>
          </cell>
          <cell r="I42">
            <v>446346</v>
          </cell>
          <cell r="J42">
            <v>485774</v>
          </cell>
          <cell r="K42">
            <v>517513</v>
          </cell>
          <cell r="L42">
            <v>551295</v>
          </cell>
          <cell r="M42">
            <v>586566</v>
          </cell>
          <cell r="N42">
            <v>627034</v>
          </cell>
          <cell r="O42">
            <v>688949</v>
          </cell>
          <cell r="P42">
            <v>774911</v>
          </cell>
          <cell r="T42">
            <v>39</v>
          </cell>
          <cell r="U42" t="str">
            <v>Commercial</v>
          </cell>
          <cell r="X42">
            <v>95392</v>
          </cell>
          <cell r="Y42">
            <v>220944</v>
          </cell>
          <cell r="Z42">
            <v>327476</v>
          </cell>
          <cell r="AA42">
            <v>397140</v>
          </cell>
          <cell r="AB42">
            <v>451967</v>
          </cell>
          <cell r="AC42">
            <v>492696</v>
          </cell>
          <cell r="AD42">
            <v>525547</v>
          </cell>
          <cell r="AE42">
            <v>558127</v>
          </cell>
          <cell r="AF42">
            <v>595172</v>
          </cell>
          <cell r="AG42">
            <v>639659</v>
          </cell>
          <cell r="AH42">
            <v>700992</v>
          </cell>
          <cell r="AI42">
            <v>804855</v>
          </cell>
        </row>
        <row r="43">
          <cell r="A43">
            <v>40</v>
          </cell>
          <cell r="B43" t="str">
            <v xml:space="preserve">Industrial </v>
          </cell>
          <cell r="E43">
            <v>144498</v>
          </cell>
          <cell r="F43">
            <v>279875</v>
          </cell>
          <cell r="G43">
            <v>433667</v>
          </cell>
          <cell r="H43">
            <v>561308</v>
          </cell>
          <cell r="I43">
            <v>693813</v>
          </cell>
          <cell r="J43">
            <v>829326</v>
          </cell>
          <cell r="K43">
            <v>946843</v>
          </cell>
          <cell r="L43">
            <v>1094718</v>
          </cell>
          <cell r="M43">
            <v>1219293</v>
          </cell>
          <cell r="N43">
            <v>1370540</v>
          </cell>
          <cell r="O43">
            <v>1546128</v>
          </cell>
          <cell r="P43">
            <v>1708693</v>
          </cell>
          <cell r="T43">
            <v>40</v>
          </cell>
          <cell r="U43" t="str">
            <v xml:space="preserve">Industrial </v>
          </cell>
          <cell r="X43">
            <v>140418</v>
          </cell>
          <cell r="Y43">
            <v>278282</v>
          </cell>
          <cell r="Z43">
            <v>420909</v>
          </cell>
          <cell r="AA43">
            <v>551626</v>
          </cell>
          <cell r="AB43">
            <v>670960</v>
          </cell>
          <cell r="AC43">
            <v>804053</v>
          </cell>
          <cell r="AD43">
            <v>916428</v>
          </cell>
          <cell r="AE43">
            <v>1047484</v>
          </cell>
          <cell r="AF43">
            <v>1188757</v>
          </cell>
          <cell r="AG43">
            <v>1338366</v>
          </cell>
          <cell r="AH43">
            <v>1482580</v>
          </cell>
          <cell r="AI43">
            <v>1640298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365936</v>
          </cell>
          <cell r="F45">
            <v>696918</v>
          </cell>
          <cell r="G45">
            <v>1020698</v>
          </cell>
          <cell r="H45">
            <v>1273872</v>
          </cell>
          <cell r="I45">
            <v>1468809</v>
          </cell>
          <cell r="J45">
            <v>1656586.8</v>
          </cell>
          <cell r="K45">
            <v>1814902.8</v>
          </cell>
          <cell r="L45">
            <v>2004973.8</v>
          </cell>
          <cell r="M45">
            <v>2173848.7999999998</v>
          </cell>
          <cell r="N45">
            <v>2375978.7999999998</v>
          </cell>
          <cell r="O45">
            <v>2642278.7999999998</v>
          </cell>
          <cell r="P45">
            <v>2962647.8</v>
          </cell>
          <cell r="T45">
            <v>42</v>
          </cell>
          <cell r="U45" t="str">
            <v>Total Volume</v>
          </cell>
          <cell r="X45">
            <v>305124</v>
          </cell>
          <cell r="Y45">
            <v>668849</v>
          </cell>
          <cell r="Z45">
            <v>1001129</v>
          </cell>
          <cell r="AA45">
            <v>1248746</v>
          </cell>
          <cell r="AB45">
            <v>1453250</v>
          </cell>
          <cell r="AC45">
            <v>1642224</v>
          </cell>
          <cell r="AD45">
            <v>1796307</v>
          </cell>
          <cell r="AE45">
            <v>1967936</v>
          </cell>
          <cell r="AF45">
            <v>2154907</v>
          </cell>
          <cell r="AG45">
            <v>2359806</v>
          </cell>
          <cell r="AH45">
            <v>2593402</v>
          </cell>
          <cell r="AI45">
            <v>2921963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104769</v>
          </cell>
          <cell r="F48">
            <v>195352</v>
          </cell>
          <cell r="G48">
            <v>266904</v>
          </cell>
          <cell r="H48">
            <v>325426</v>
          </cell>
          <cell r="I48">
            <v>344557</v>
          </cell>
          <cell r="J48">
            <v>358003</v>
          </cell>
          <cell r="K48">
            <v>367500</v>
          </cell>
          <cell r="L48">
            <v>376283</v>
          </cell>
          <cell r="M48">
            <v>385736</v>
          </cell>
          <cell r="N48">
            <v>396663</v>
          </cell>
          <cell r="O48">
            <v>426881</v>
          </cell>
          <cell r="P48">
            <v>502370</v>
          </cell>
          <cell r="T48">
            <v>45</v>
          </cell>
          <cell r="U48" t="str">
            <v>Residential</v>
          </cell>
          <cell r="X48">
            <v>73446</v>
          </cell>
          <cell r="Y48">
            <v>179495</v>
          </cell>
          <cell r="Z48">
            <v>267108</v>
          </cell>
          <cell r="AA48">
            <v>316986</v>
          </cell>
          <cell r="AB48">
            <v>348883</v>
          </cell>
          <cell r="AC48">
            <v>364824</v>
          </cell>
          <cell r="AD48">
            <v>374183</v>
          </cell>
          <cell r="AE48">
            <v>382620</v>
          </cell>
          <cell r="AF48">
            <v>391742</v>
          </cell>
          <cell r="AG48">
            <v>403114</v>
          </cell>
          <cell r="AH48">
            <v>432629</v>
          </cell>
          <cell r="AI48">
            <v>503128</v>
          </cell>
        </row>
        <row r="49">
          <cell r="A49">
            <v>46</v>
          </cell>
          <cell r="B49" t="str">
            <v>Commercial</v>
          </cell>
          <cell r="E49">
            <v>127801</v>
          </cell>
          <cell r="F49">
            <v>242390</v>
          </cell>
          <cell r="G49">
            <v>349001</v>
          </cell>
          <cell r="H49">
            <v>421775</v>
          </cell>
          <cell r="I49">
            <v>467858</v>
          </cell>
          <cell r="J49">
            <v>509157</v>
          </cell>
          <cell r="K49">
            <v>542427</v>
          </cell>
          <cell r="L49">
            <v>577691</v>
          </cell>
          <cell r="M49">
            <v>614619</v>
          </cell>
          <cell r="N49">
            <v>657076</v>
          </cell>
          <cell r="O49">
            <v>722047</v>
          </cell>
          <cell r="P49">
            <v>812373</v>
          </cell>
          <cell r="T49">
            <v>46</v>
          </cell>
          <cell r="U49" t="str">
            <v>Commercial</v>
          </cell>
          <cell r="X49">
            <v>101078</v>
          </cell>
          <cell r="Y49">
            <v>233814</v>
          </cell>
          <cell r="Z49">
            <v>346103</v>
          </cell>
          <cell r="AA49">
            <v>419664</v>
          </cell>
          <cell r="AB49">
            <v>477300</v>
          </cell>
          <cell r="AC49">
            <v>520150</v>
          </cell>
          <cell r="AD49">
            <v>554862</v>
          </cell>
          <cell r="AE49">
            <v>589253</v>
          </cell>
          <cell r="AF49">
            <v>628307</v>
          </cell>
          <cell r="AG49">
            <v>675135</v>
          </cell>
          <cell r="AH49">
            <v>739673</v>
          </cell>
          <cell r="AI49">
            <v>848993</v>
          </cell>
        </row>
        <row r="50">
          <cell r="A50">
            <v>47</v>
          </cell>
          <cell r="B50" t="str">
            <v xml:space="preserve">Industrial </v>
          </cell>
          <cell r="E50">
            <v>151762</v>
          </cell>
          <cell r="F50">
            <v>293760</v>
          </cell>
          <cell r="G50">
            <v>454948</v>
          </cell>
          <cell r="H50">
            <v>588449</v>
          </cell>
          <cell r="I50">
            <v>726858</v>
          </cell>
          <cell r="J50">
            <v>868802</v>
          </cell>
          <cell r="K50">
            <v>991987</v>
          </cell>
          <cell r="L50">
            <v>1146348</v>
          </cell>
          <cell r="M50">
            <v>1276774</v>
          </cell>
          <cell r="N50">
            <v>1435453</v>
          </cell>
          <cell r="O50">
            <v>1619708</v>
          </cell>
          <cell r="P50">
            <v>1790526</v>
          </cell>
          <cell r="T50">
            <v>47</v>
          </cell>
          <cell r="U50" t="str">
            <v xml:space="preserve">Industrial </v>
          </cell>
          <cell r="X50">
            <v>148788</v>
          </cell>
          <cell r="Y50">
            <v>294541</v>
          </cell>
          <cell r="Z50">
            <v>444876</v>
          </cell>
          <cell r="AA50">
            <v>582905</v>
          </cell>
          <cell r="AB50">
            <v>708352</v>
          </cell>
          <cell r="AC50">
            <v>848376</v>
          </cell>
          <cell r="AD50">
            <v>967117</v>
          </cell>
          <cell r="AE50">
            <v>1105458</v>
          </cell>
          <cell r="AF50">
            <v>1254391</v>
          </cell>
          <cell r="AG50">
            <v>1411874</v>
          </cell>
          <cell r="AH50">
            <v>1563625</v>
          </cell>
          <cell r="AI50">
            <v>1729630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384332</v>
          </cell>
          <cell r="F52">
            <v>731502</v>
          </cell>
          <cell r="G52">
            <v>1070853</v>
          </cell>
          <cell r="H52">
            <v>1335650</v>
          </cell>
          <cell r="I52">
            <v>1539273</v>
          </cell>
          <cell r="J52">
            <v>1735962</v>
          </cell>
          <cell r="K52">
            <v>1901914</v>
          </cell>
          <cell r="L52">
            <v>2100322</v>
          </cell>
          <cell r="M52">
            <v>2277129</v>
          </cell>
          <cell r="N52">
            <v>2489192</v>
          </cell>
          <cell r="O52">
            <v>2768636</v>
          </cell>
          <cell r="P52">
            <v>3105269</v>
          </cell>
          <cell r="T52">
            <v>49</v>
          </cell>
          <cell r="U52" t="str">
            <v>Total Volume</v>
          </cell>
          <cell r="W52">
            <v>0</v>
          </cell>
          <cell r="X52">
            <v>323312</v>
          </cell>
          <cell r="Y52">
            <v>707850</v>
          </cell>
          <cell r="Z52">
            <v>1058087</v>
          </cell>
          <cell r="AA52">
            <v>1319555</v>
          </cell>
          <cell r="AB52">
            <v>1534535</v>
          </cell>
          <cell r="AC52">
            <v>1733350</v>
          </cell>
          <cell r="AD52">
            <v>1896162</v>
          </cell>
          <cell r="AE52">
            <v>2077331</v>
          </cell>
          <cell r="AF52">
            <v>2274440</v>
          </cell>
          <cell r="AG52">
            <v>2490123</v>
          </cell>
          <cell r="AH52">
            <v>2735927</v>
          </cell>
          <cell r="AI52">
            <v>3081751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13220</v>
          </cell>
          <cell r="F55">
            <v>13263</v>
          </cell>
          <cell r="G55">
            <v>13278</v>
          </cell>
          <cell r="H55">
            <v>13280</v>
          </cell>
          <cell r="I55">
            <v>13247</v>
          </cell>
          <cell r="J55">
            <v>13161</v>
          </cell>
          <cell r="K55">
            <v>13077</v>
          </cell>
          <cell r="L55">
            <v>13015</v>
          </cell>
          <cell r="M55">
            <v>12969</v>
          </cell>
          <cell r="N55">
            <v>12945</v>
          </cell>
          <cell r="O55">
            <v>12955</v>
          </cell>
          <cell r="P55">
            <v>12984</v>
          </cell>
        </row>
        <row r="56">
          <cell r="A56">
            <v>53</v>
          </cell>
          <cell r="B56" t="str">
            <v>Cumulative Budget YTD Volume (Mcfs)</v>
          </cell>
          <cell r="E56">
            <v>353041</v>
          </cell>
          <cell r="F56">
            <v>732516</v>
          </cell>
          <cell r="G56">
            <v>1095568</v>
          </cell>
          <cell r="H56">
            <v>1371122</v>
          </cell>
          <cell r="I56">
            <v>1582271</v>
          </cell>
          <cell r="J56">
            <v>1755350</v>
          </cell>
          <cell r="K56">
            <v>1915253</v>
          </cell>
          <cell r="L56">
            <v>2077893</v>
          </cell>
          <cell r="M56">
            <v>2266303</v>
          </cell>
          <cell r="N56">
            <v>2487794</v>
          </cell>
          <cell r="O56">
            <v>2726668</v>
          </cell>
          <cell r="P56">
            <v>3051837</v>
          </cell>
        </row>
        <row r="57">
          <cell r="A57">
            <v>54</v>
          </cell>
          <cell r="B57" t="str">
            <v>Cumulative YTD Budget Volume (Dts) * 1.035</v>
          </cell>
          <cell r="E57">
            <v>365397.435</v>
          </cell>
          <cell r="F57">
            <v>758154.05999999994</v>
          </cell>
          <cell r="G57">
            <v>1133912.8799999999</v>
          </cell>
          <cell r="H57">
            <v>1419111.2699999998</v>
          </cell>
          <cell r="I57">
            <v>1637650.4849999999</v>
          </cell>
          <cell r="J57">
            <v>1816787.2499999998</v>
          </cell>
          <cell r="K57">
            <v>1982286.8549999997</v>
          </cell>
          <cell r="L57">
            <v>2150619.2549999999</v>
          </cell>
          <cell r="M57">
            <v>2345623.605</v>
          </cell>
          <cell r="N57">
            <v>2574866.79</v>
          </cell>
          <cell r="O57">
            <v>2822101.38</v>
          </cell>
          <cell r="P57">
            <v>3158651.2949999999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15795.666666666666</v>
          </cell>
          <cell r="E5">
            <v>15604</v>
          </cell>
          <cell r="F5">
            <v>15643</v>
          </cell>
          <cell r="G5">
            <v>15742</v>
          </cell>
          <cell r="H5">
            <v>15826</v>
          </cell>
          <cell r="I5">
            <v>15732</v>
          </cell>
          <cell r="J5">
            <v>15753</v>
          </cell>
          <cell r="K5">
            <v>15740</v>
          </cell>
          <cell r="L5">
            <v>15769</v>
          </cell>
          <cell r="M5">
            <v>15838</v>
          </cell>
          <cell r="N5">
            <v>15865</v>
          </cell>
          <cell r="O5">
            <v>15984</v>
          </cell>
          <cell r="P5">
            <v>16052</v>
          </cell>
          <cell r="T5">
            <v>2</v>
          </cell>
          <cell r="U5" t="str">
            <v>Residential</v>
          </cell>
          <cell r="V5">
            <v>15340</v>
          </cell>
          <cell r="W5">
            <v>184082</v>
          </cell>
          <cell r="X5">
            <v>15167</v>
          </cell>
          <cell r="Y5">
            <v>15242</v>
          </cell>
          <cell r="Z5">
            <v>15317</v>
          </cell>
          <cell r="AA5">
            <v>15377</v>
          </cell>
          <cell r="AB5">
            <v>15338</v>
          </cell>
          <cell r="AC5">
            <v>15270</v>
          </cell>
          <cell r="AD5">
            <v>15270</v>
          </cell>
          <cell r="AE5">
            <v>15406</v>
          </cell>
          <cell r="AF5">
            <v>15336</v>
          </cell>
          <cell r="AG5">
            <v>15377</v>
          </cell>
          <cell r="AH5">
            <v>15435</v>
          </cell>
          <cell r="AI5">
            <v>15547</v>
          </cell>
        </row>
        <row r="6">
          <cell r="A6">
            <v>3</v>
          </cell>
          <cell r="B6" t="str">
            <v>Commercial</v>
          </cell>
          <cell r="D6">
            <v>1421.1666666666667</v>
          </cell>
          <cell r="E6">
            <v>1403</v>
          </cell>
          <cell r="F6">
            <v>1411</v>
          </cell>
          <cell r="G6">
            <v>1405</v>
          </cell>
          <cell r="H6">
            <v>1411</v>
          </cell>
          <cell r="I6">
            <v>1426</v>
          </cell>
          <cell r="J6">
            <v>1417</v>
          </cell>
          <cell r="K6">
            <v>1416</v>
          </cell>
          <cell r="L6">
            <v>1428</v>
          </cell>
          <cell r="M6">
            <v>1432</v>
          </cell>
          <cell r="N6">
            <v>1430</v>
          </cell>
          <cell r="O6">
            <v>1439</v>
          </cell>
          <cell r="P6">
            <v>1436</v>
          </cell>
          <cell r="T6">
            <v>3</v>
          </cell>
          <cell r="U6" t="str">
            <v>Commercial</v>
          </cell>
          <cell r="V6">
            <v>1393</v>
          </cell>
          <cell r="W6">
            <v>16721</v>
          </cell>
          <cell r="X6">
            <v>1381</v>
          </cell>
          <cell r="Y6">
            <v>1377</v>
          </cell>
          <cell r="Z6">
            <v>1377</v>
          </cell>
          <cell r="AA6">
            <v>1381</v>
          </cell>
          <cell r="AB6">
            <v>1388</v>
          </cell>
          <cell r="AC6">
            <v>1394</v>
          </cell>
          <cell r="AD6">
            <v>1389</v>
          </cell>
          <cell r="AE6">
            <v>1434</v>
          </cell>
          <cell r="AF6">
            <v>1402</v>
          </cell>
          <cell r="AG6">
            <v>1398</v>
          </cell>
          <cell r="AH6">
            <v>1399</v>
          </cell>
          <cell r="AI6">
            <v>1401</v>
          </cell>
        </row>
        <row r="7">
          <cell r="A7">
            <v>4</v>
          </cell>
          <cell r="B7" t="str">
            <v xml:space="preserve">Industrial </v>
          </cell>
          <cell r="D7">
            <v>78.833333333333329</v>
          </cell>
          <cell r="E7">
            <v>77</v>
          </cell>
          <cell r="F7">
            <v>77</v>
          </cell>
          <cell r="G7">
            <v>78</v>
          </cell>
          <cell r="H7">
            <v>80</v>
          </cell>
          <cell r="I7">
            <v>81</v>
          </cell>
          <cell r="J7">
            <v>80</v>
          </cell>
          <cell r="K7">
            <v>78</v>
          </cell>
          <cell r="L7">
            <v>76</v>
          </cell>
          <cell r="M7">
            <v>79</v>
          </cell>
          <cell r="N7">
            <v>79</v>
          </cell>
          <cell r="O7">
            <v>80</v>
          </cell>
          <cell r="P7">
            <v>81</v>
          </cell>
          <cell r="T7">
            <v>4</v>
          </cell>
          <cell r="U7" t="str">
            <v xml:space="preserve">Industrial </v>
          </cell>
          <cell r="V7">
            <v>73</v>
          </cell>
          <cell r="W7">
            <v>870</v>
          </cell>
          <cell r="X7">
            <v>72</v>
          </cell>
          <cell r="Y7">
            <v>71</v>
          </cell>
          <cell r="Z7">
            <v>72</v>
          </cell>
          <cell r="AA7">
            <v>72</v>
          </cell>
          <cell r="AB7">
            <v>71</v>
          </cell>
          <cell r="AC7">
            <v>72</v>
          </cell>
          <cell r="AD7">
            <v>72</v>
          </cell>
          <cell r="AE7">
            <v>77</v>
          </cell>
          <cell r="AF7">
            <v>72</v>
          </cell>
          <cell r="AG7">
            <v>71</v>
          </cell>
          <cell r="AH7">
            <v>72</v>
          </cell>
          <cell r="AI7">
            <v>76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17295.666666666664</v>
          </cell>
          <cell r="E9">
            <v>17084</v>
          </cell>
          <cell r="F9">
            <v>17131</v>
          </cell>
          <cell r="G9">
            <v>17225</v>
          </cell>
          <cell r="H9">
            <v>17317</v>
          </cell>
          <cell r="I9">
            <v>17239</v>
          </cell>
          <cell r="J9">
            <v>17250</v>
          </cell>
          <cell r="K9">
            <v>17234</v>
          </cell>
          <cell r="L9">
            <v>17273</v>
          </cell>
          <cell r="M9">
            <v>17349</v>
          </cell>
          <cell r="N9">
            <v>17374</v>
          </cell>
          <cell r="O9">
            <v>17503</v>
          </cell>
          <cell r="P9">
            <v>17569</v>
          </cell>
          <cell r="T9">
            <v>6</v>
          </cell>
          <cell r="U9" t="str">
            <v>Total customers</v>
          </cell>
          <cell r="V9">
            <v>16806</v>
          </cell>
          <cell r="W9">
            <v>201673</v>
          </cell>
          <cell r="X9">
            <v>16620</v>
          </cell>
          <cell r="Y9">
            <v>16690</v>
          </cell>
          <cell r="Z9">
            <v>16766</v>
          </cell>
          <cell r="AA9">
            <v>16830</v>
          </cell>
          <cell r="AB9">
            <v>16797</v>
          </cell>
          <cell r="AC9">
            <v>16736</v>
          </cell>
          <cell r="AD9">
            <v>16731</v>
          </cell>
          <cell r="AE9">
            <v>16917</v>
          </cell>
          <cell r="AF9">
            <v>16810</v>
          </cell>
          <cell r="AG9">
            <v>16846</v>
          </cell>
          <cell r="AH9">
            <v>16906</v>
          </cell>
          <cell r="AI9">
            <v>17024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329246.37257766095</v>
          </cell>
          <cell r="E12">
            <v>41014.31492842536</v>
          </cell>
          <cell r="F12">
            <v>36466.744571039046</v>
          </cell>
          <cell r="G12">
            <v>42267.796280066221</v>
          </cell>
          <cell r="H12">
            <v>34340.636868244226</v>
          </cell>
          <cell r="I12">
            <v>20836.108676599473</v>
          </cell>
          <cell r="J12">
            <v>18842.827928717499</v>
          </cell>
          <cell r="K12">
            <v>17115.882753919563</v>
          </cell>
          <cell r="L12">
            <v>15449.897750511247</v>
          </cell>
          <cell r="M12">
            <v>18978.284156198268</v>
          </cell>
          <cell r="N12">
            <v>18197.000681663259</v>
          </cell>
          <cell r="O12">
            <v>30811.374038367903</v>
          </cell>
          <cell r="P12">
            <v>34925.50394390885</v>
          </cell>
          <cell r="T12">
            <v>9</v>
          </cell>
          <cell r="U12" t="str">
            <v>Residential</v>
          </cell>
          <cell r="W12">
            <v>333664.98977505136</v>
          </cell>
          <cell r="X12">
            <v>44786.63940013633</v>
          </cell>
          <cell r="Y12">
            <v>48583.01684682053</v>
          </cell>
          <cell r="Z12">
            <v>41474.924530139251</v>
          </cell>
          <cell r="AA12">
            <v>33215.989872431586</v>
          </cell>
          <cell r="AB12">
            <v>21696.854610965042</v>
          </cell>
          <cell r="AC12">
            <v>17788.100107118513</v>
          </cell>
          <cell r="AD12">
            <v>15159.801343850424</v>
          </cell>
          <cell r="AE12">
            <v>14602.103418054337</v>
          </cell>
          <cell r="AF12">
            <v>16272.957444736585</v>
          </cell>
          <cell r="AG12">
            <v>19910.291167592073</v>
          </cell>
          <cell r="AH12">
            <v>26877.690135358847</v>
          </cell>
          <cell r="AI12">
            <v>33296.62089784789</v>
          </cell>
        </row>
        <row r="13">
          <cell r="A13">
            <v>10</v>
          </cell>
          <cell r="B13" t="str">
            <v>Commercial</v>
          </cell>
          <cell r="D13">
            <v>4993366.0531697348</v>
          </cell>
          <cell r="E13">
            <v>493630.34375304315</v>
          </cell>
          <cell r="F13">
            <v>458855.58476969518</v>
          </cell>
          <cell r="G13">
            <v>472069.04275002435</v>
          </cell>
          <cell r="H13">
            <v>448234.20001947606</v>
          </cell>
          <cell r="I13">
            <v>435075.85938260786</v>
          </cell>
          <cell r="J13">
            <v>416146.7523614763</v>
          </cell>
          <cell r="K13">
            <v>447703.2817216866</v>
          </cell>
          <cell r="L13">
            <v>422174.21365274128</v>
          </cell>
          <cell r="M13">
            <v>273010.0301879443</v>
          </cell>
          <cell r="N13">
            <v>366608.14100691403</v>
          </cell>
          <cell r="O13">
            <v>366049.07975460123</v>
          </cell>
          <cell r="P13">
            <v>393809.52380952379</v>
          </cell>
          <cell r="T13">
            <v>10</v>
          </cell>
          <cell r="U13" t="str">
            <v>Commercial</v>
          </cell>
          <cell r="W13">
            <v>5886173.3976044413</v>
          </cell>
          <cell r="X13">
            <v>477194.66355049179</v>
          </cell>
          <cell r="Y13">
            <v>459042.06836108677</v>
          </cell>
          <cell r="Z13">
            <v>473586.13302171585</v>
          </cell>
          <cell r="AA13">
            <v>468207.22563053848</v>
          </cell>
          <cell r="AB13">
            <v>437356.60726458271</v>
          </cell>
          <cell r="AC13">
            <v>415324.86123283667</v>
          </cell>
          <cell r="AD13">
            <v>404361.76842925308</v>
          </cell>
          <cell r="AE13">
            <v>442360.21034180542</v>
          </cell>
          <cell r="AF13">
            <v>432821.50160677766</v>
          </cell>
          <cell r="AG13">
            <v>450033.36449508229</v>
          </cell>
          <cell r="AH13">
            <v>457472.58739896776</v>
          </cell>
          <cell r="AI13">
            <v>968412.40627130191</v>
          </cell>
        </row>
        <row r="14">
          <cell r="A14">
            <v>11</v>
          </cell>
          <cell r="B14" t="str">
            <v xml:space="preserve">Industrial </v>
          </cell>
          <cell r="D14">
            <v>11244275.878858702</v>
          </cell>
          <cell r="E14">
            <v>1146762.8785665596</v>
          </cell>
          <cell r="F14">
            <v>940021.61846333626</v>
          </cell>
          <cell r="G14">
            <v>1085242.9642613691</v>
          </cell>
          <cell r="H14">
            <v>869717.30450871552</v>
          </cell>
          <cell r="I14">
            <v>1077275.8788587009</v>
          </cell>
          <cell r="J14">
            <v>839270.71769403061</v>
          </cell>
          <cell r="K14">
            <v>882172.46080436266</v>
          </cell>
          <cell r="L14">
            <v>841585.15921706101</v>
          </cell>
          <cell r="M14">
            <v>604164.5729866589</v>
          </cell>
          <cell r="N14">
            <v>947170.31843412213</v>
          </cell>
          <cell r="O14">
            <v>905382.31570746913</v>
          </cell>
          <cell r="P14">
            <v>1105509.6893563152</v>
          </cell>
          <cell r="T14">
            <v>11</v>
          </cell>
          <cell r="U14" t="str">
            <v xml:space="preserve">Industrial </v>
          </cell>
          <cell r="W14">
            <v>10717532.314369461</v>
          </cell>
          <cell r="X14">
            <v>1095256.6949070017</v>
          </cell>
          <cell r="Y14">
            <v>994717.79141104291</v>
          </cell>
          <cell r="Z14">
            <v>1117554.6791313663</v>
          </cell>
          <cell r="AA14">
            <v>957915.76589736098</v>
          </cell>
          <cell r="AB14">
            <v>1031289.0252215406</v>
          </cell>
          <cell r="AC14">
            <v>735340.44210731331</v>
          </cell>
          <cell r="AD14">
            <v>700236.63453111309</v>
          </cell>
          <cell r="AE14">
            <v>892407.05034570058</v>
          </cell>
          <cell r="AF14">
            <v>660522.05667543085</v>
          </cell>
          <cell r="AG14">
            <v>1023739.54</v>
          </cell>
          <cell r="AH14">
            <v>890485.44162041089</v>
          </cell>
          <cell r="AI14">
            <v>618067.19252118026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16566888.304606099</v>
          </cell>
          <cell r="E16">
            <v>1681407.5372480282</v>
          </cell>
          <cell r="F16">
            <v>1435343.9478040705</v>
          </cell>
          <cell r="G16">
            <v>1599579.8032914596</v>
          </cell>
          <cell r="H16">
            <v>1352292.1413964359</v>
          </cell>
          <cell r="I16">
            <v>1533187.8469179082</v>
          </cell>
          <cell r="J16">
            <v>1274260.2979842243</v>
          </cell>
          <cell r="K16">
            <v>1346991.6252799688</v>
          </cell>
          <cell r="L16">
            <v>1279209.2706203135</v>
          </cell>
          <cell r="M16">
            <v>896152.88733080146</v>
          </cell>
          <cell r="N16">
            <v>1331975.4601226994</v>
          </cell>
          <cell r="O16">
            <v>1302242.7695004381</v>
          </cell>
          <cell r="P16">
            <v>1534244.7171097477</v>
          </cell>
          <cell r="T16">
            <v>13</v>
          </cell>
          <cell r="U16" t="str">
            <v>Total Deliveries</v>
          </cell>
          <cell r="W16">
            <v>16937370.701748952</v>
          </cell>
          <cell r="X16">
            <v>1617237.9978576298</v>
          </cell>
          <cell r="Y16">
            <v>1502342.8766189502</v>
          </cell>
          <cell r="Z16">
            <v>1632615.7366832215</v>
          </cell>
          <cell r="AA16">
            <v>1459338.981400331</v>
          </cell>
          <cell r="AB16">
            <v>1490342.4870970882</v>
          </cell>
          <cell r="AC16">
            <v>1168453.4034472685</v>
          </cell>
          <cell r="AD16">
            <v>1119758.2043042167</v>
          </cell>
          <cell r="AE16">
            <v>1349369.3641055604</v>
          </cell>
          <cell r="AF16">
            <v>1109616.5157269451</v>
          </cell>
          <cell r="AG16">
            <v>1493683.1956626745</v>
          </cell>
          <cell r="AH16">
            <v>1374835.7191547374</v>
          </cell>
          <cell r="AI16">
            <v>1619776.2196903301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338105</v>
          </cell>
          <cell r="E21">
            <v>42118</v>
          </cell>
          <cell r="F21">
            <v>37448</v>
          </cell>
          <cell r="G21">
            <v>43405</v>
          </cell>
          <cell r="H21">
            <v>35264</v>
          </cell>
          <cell r="I21">
            <v>21397</v>
          </cell>
          <cell r="J21">
            <v>19350</v>
          </cell>
          <cell r="K21">
            <v>17576</v>
          </cell>
          <cell r="L21">
            <v>15866</v>
          </cell>
          <cell r="M21">
            <v>19489</v>
          </cell>
          <cell r="N21">
            <v>18687</v>
          </cell>
          <cell r="O21">
            <v>31640</v>
          </cell>
          <cell r="P21">
            <v>35865</v>
          </cell>
          <cell r="T21">
            <v>18</v>
          </cell>
          <cell r="U21" t="str">
            <v>Residential</v>
          </cell>
          <cell r="W21">
            <v>342643</v>
          </cell>
          <cell r="X21">
            <v>45991</v>
          </cell>
          <cell r="Y21">
            <v>49890</v>
          </cell>
          <cell r="Z21">
            <v>42591</v>
          </cell>
          <cell r="AA21">
            <v>34110</v>
          </cell>
          <cell r="AB21">
            <v>22281</v>
          </cell>
          <cell r="AC21">
            <v>18267</v>
          </cell>
          <cell r="AD21">
            <v>15568</v>
          </cell>
          <cell r="AE21">
            <v>14995</v>
          </cell>
          <cell r="AF21">
            <v>16711</v>
          </cell>
          <cell r="AG21">
            <v>20446</v>
          </cell>
          <cell r="AH21">
            <v>27601</v>
          </cell>
          <cell r="AI21">
            <v>34192</v>
          </cell>
        </row>
        <row r="22">
          <cell r="A22">
            <v>19</v>
          </cell>
          <cell r="B22" t="str">
            <v>Commercial</v>
          </cell>
          <cell r="D22">
            <v>5127689</v>
          </cell>
          <cell r="E22">
            <v>506909</v>
          </cell>
          <cell r="F22">
            <v>471199</v>
          </cell>
          <cell r="G22">
            <v>484768</v>
          </cell>
          <cell r="H22">
            <v>460292</v>
          </cell>
          <cell r="I22">
            <v>446779</v>
          </cell>
          <cell r="J22">
            <v>427341</v>
          </cell>
          <cell r="K22">
            <v>459747</v>
          </cell>
          <cell r="L22">
            <v>433531</v>
          </cell>
          <cell r="M22">
            <v>280354</v>
          </cell>
          <cell r="N22">
            <v>376470</v>
          </cell>
          <cell r="O22">
            <v>375896</v>
          </cell>
          <cell r="P22">
            <v>404403</v>
          </cell>
          <cell r="T22">
            <v>19</v>
          </cell>
          <cell r="U22" t="str">
            <v>Commercial</v>
          </cell>
          <cell r="W22">
            <v>6044512</v>
          </cell>
          <cell r="X22">
            <v>490031</v>
          </cell>
          <cell r="Y22">
            <v>471390</v>
          </cell>
          <cell r="Z22">
            <v>486326</v>
          </cell>
          <cell r="AA22">
            <v>480802</v>
          </cell>
          <cell r="AB22">
            <v>449122</v>
          </cell>
          <cell r="AC22">
            <v>426497</v>
          </cell>
          <cell r="AD22">
            <v>415239</v>
          </cell>
          <cell r="AE22">
            <v>454260</v>
          </cell>
          <cell r="AF22">
            <v>444464</v>
          </cell>
          <cell r="AG22">
            <v>462139</v>
          </cell>
          <cell r="AH22">
            <v>469779</v>
          </cell>
          <cell r="AI22">
            <v>994463</v>
          </cell>
        </row>
        <row r="23">
          <cell r="A23">
            <v>20</v>
          </cell>
          <cell r="B23" t="str">
            <v xml:space="preserve">Industrial </v>
          </cell>
          <cell r="D23">
            <v>11546748</v>
          </cell>
          <cell r="E23">
            <v>1177611</v>
          </cell>
          <cell r="F23">
            <v>965308</v>
          </cell>
          <cell r="G23">
            <v>1114436</v>
          </cell>
          <cell r="H23">
            <v>893113</v>
          </cell>
          <cell r="I23">
            <v>1106255</v>
          </cell>
          <cell r="J23">
            <v>861847</v>
          </cell>
          <cell r="K23">
            <v>905903</v>
          </cell>
          <cell r="L23">
            <v>864224</v>
          </cell>
          <cell r="M23">
            <v>620417</v>
          </cell>
          <cell r="N23">
            <v>972649</v>
          </cell>
          <cell r="O23">
            <v>929737</v>
          </cell>
          <cell r="P23">
            <v>1135248</v>
          </cell>
          <cell r="T23">
            <v>20</v>
          </cell>
          <cell r="U23" t="str">
            <v xml:space="preserve">Industrial </v>
          </cell>
          <cell r="W23">
            <v>11005835</v>
          </cell>
          <cell r="X23">
            <v>1124719</v>
          </cell>
          <cell r="Y23">
            <v>1021476</v>
          </cell>
          <cell r="Z23">
            <v>1147617</v>
          </cell>
          <cell r="AA23">
            <v>983684</v>
          </cell>
          <cell r="AB23">
            <v>1059031</v>
          </cell>
          <cell r="AC23">
            <v>755121</v>
          </cell>
          <cell r="AD23">
            <v>719073</v>
          </cell>
          <cell r="AE23">
            <v>916413</v>
          </cell>
          <cell r="AF23">
            <v>678290</v>
          </cell>
          <cell r="AG23">
            <v>1051278</v>
          </cell>
          <cell r="AH23">
            <v>914440</v>
          </cell>
          <cell r="AI23">
            <v>634693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17012542</v>
          </cell>
          <cell r="E25">
            <v>1726638</v>
          </cell>
          <cell r="F25">
            <v>1473955</v>
          </cell>
          <cell r="G25">
            <v>1642609</v>
          </cell>
          <cell r="H25">
            <v>1388669</v>
          </cell>
          <cell r="I25">
            <v>1574431</v>
          </cell>
          <cell r="J25">
            <v>1308538</v>
          </cell>
          <cell r="K25">
            <v>1383226</v>
          </cell>
          <cell r="L25">
            <v>1313621</v>
          </cell>
          <cell r="M25">
            <v>920260</v>
          </cell>
          <cell r="N25">
            <v>1367806</v>
          </cell>
          <cell r="O25">
            <v>1337273</v>
          </cell>
          <cell r="P25">
            <v>1575516</v>
          </cell>
          <cell r="T25">
            <v>22</v>
          </cell>
          <cell r="U25" t="str">
            <v>Total Deliveries</v>
          </cell>
          <cell r="W25">
            <v>17392990</v>
          </cell>
          <cell r="X25">
            <v>1660741</v>
          </cell>
          <cell r="Y25">
            <v>1542756</v>
          </cell>
          <cell r="Z25">
            <v>1676534</v>
          </cell>
          <cell r="AA25">
            <v>1498596</v>
          </cell>
          <cell r="AB25">
            <v>1530434</v>
          </cell>
          <cell r="AC25">
            <v>1199885</v>
          </cell>
          <cell r="AD25">
            <v>1149880</v>
          </cell>
          <cell r="AE25">
            <v>1385668</v>
          </cell>
          <cell r="AF25">
            <v>1139465</v>
          </cell>
          <cell r="AG25">
            <v>1533863</v>
          </cell>
          <cell r="AH25">
            <v>1411820</v>
          </cell>
          <cell r="AI25">
            <v>1663348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17028</v>
          </cell>
          <cell r="F28">
            <v>17079</v>
          </cell>
          <cell r="G28">
            <v>17056</v>
          </cell>
          <cell r="H28">
            <v>17107</v>
          </cell>
          <cell r="I28">
            <v>17047</v>
          </cell>
          <cell r="J28">
            <v>16972</v>
          </cell>
          <cell r="K28">
            <v>17002</v>
          </cell>
          <cell r="L28">
            <v>17029</v>
          </cell>
          <cell r="M28">
            <v>17054</v>
          </cell>
          <cell r="N28">
            <v>17125</v>
          </cell>
          <cell r="O28">
            <v>17219</v>
          </cell>
          <cell r="P28">
            <v>17333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1536920.3476482618</v>
          </cell>
          <cell r="F29">
            <v>1453630.8803194079</v>
          </cell>
          <cell r="G29">
            <v>1470470.4781380855</v>
          </cell>
          <cell r="H29">
            <v>1354654.3051903788</v>
          </cell>
          <cell r="I29">
            <v>1547063.0110039925</v>
          </cell>
          <cell r="J29">
            <v>1220327.8245204012</v>
          </cell>
          <cell r="K29">
            <v>1316748.0085694811</v>
          </cell>
          <cell r="L29">
            <v>1124333.6916934464</v>
          </cell>
          <cell r="M29">
            <v>1004567.8498393223</v>
          </cell>
          <cell r="N29">
            <v>1097495.362742234</v>
          </cell>
          <cell r="O29">
            <v>1168115.0530723538</v>
          </cell>
          <cell r="P29">
            <v>1509821.5337423312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1578264</v>
          </cell>
          <cell r="F30">
            <v>1492734</v>
          </cell>
          <cell r="G30">
            <v>1510026</v>
          </cell>
          <cell r="H30">
            <v>1391095</v>
          </cell>
          <cell r="I30">
            <v>1588679</v>
          </cell>
          <cell r="J30">
            <v>1253155</v>
          </cell>
          <cell r="K30">
            <v>1352169</v>
          </cell>
          <cell r="L30">
            <v>1154578</v>
          </cell>
          <cell r="M30">
            <v>1031591</v>
          </cell>
          <cell r="N30">
            <v>1127018</v>
          </cell>
          <cell r="O30">
            <v>1199537</v>
          </cell>
          <cell r="P30">
            <v>1550436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15604</v>
          </cell>
          <cell r="F34">
            <v>15624</v>
          </cell>
          <cell r="G34">
            <v>15663</v>
          </cell>
          <cell r="H34">
            <v>15704</v>
          </cell>
          <cell r="I34">
            <v>15709</v>
          </cell>
          <cell r="J34">
            <v>15717</v>
          </cell>
          <cell r="K34">
            <v>15720</v>
          </cell>
          <cell r="L34">
            <v>15726</v>
          </cell>
          <cell r="M34">
            <v>15739</v>
          </cell>
          <cell r="N34">
            <v>15751</v>
          </cell>
          <cell r="O34">
            <v>15772</v>
          </cell>
          <cell r="P34">
            <v>15796</v>
          </cell>
          <cell r="T34">
            <v>31</v>
          </cell>
          <cell r="U34" t="str">
            <v>Residential</v>
          </cell>
          <cell r="X34">
            <v>15167</v>
          </cell>
          <cell r="Y34">
            <v>15205</v>
          </cell>
          <cell r="Z34">
            <v>15242</v>
          </cell>
          <cell r="AA34">
            <v>15276</v>
          </cell>
          <cell r="AB34">
            <v>15288</v>
          </cell>
          <cell r="AC34">
            <v>15285</v>
          </cell>
          <cell r="AD34">
            <v>15283</v>
          </cell>
          <cell r="AE34">
            <v>15298</v>
          </cell>
          <cell r="AF34">
            <v>15303</v>
          </cell>
          <cell r="AG34">
            <v>15310</v>
          </cell>
          <cell r="AH34">
            <v>15321</v>
          </cell>
          <cell r="AI34">
            <v>15340</v>
          </cell>
        </row>
        <row r="35">
          <cell r="A35">
            <v>32</v>
          </cell>
          <cell r="B35" t="str">
            <v>Commercial</v>
          </cell>
          <cell r="E35">
            <v>1403</v>
          </cell>
          <cell r="F35">
            <v>1407</v>
          </cell>
          <cell r="G35">
            <v>1406</v>
          </cell>
          <cell r="H35">
            <v>1408</v>
          </cell>
          <cell r="I35">
            <v>1411</v>
          </cell>
          <cell r="J35">
            <v>1412</v>
          </cell>
          <cell r="K35">
            <v>1413</v>
          </cell>
          <cell r="L35">
            <v>1415</v>
          </cell>
          <cell r="M35">
            <v>1417</v>
          </cell>
          <cell r="N35">
            <v>1418</v>
          </cell>
          <cell r="O35">
            <v>1420</v>
          </cell>
          <cell r="P35">
            <v>1421</v>
          </cell>
          <cell r="T35">
            <v>32</v>
          </cell>
          <cell r="U35" t="str">
            <v>Commercial</v>
          </cell>
          <cell r="X35">
            <v>1381</v>
          </cell>
          <cell r="Y35">
            <v>1379</v>
          </cell>
          <cell r="Z35">
            <v>1378</v>
          </cell>
          <cell r="AA35">
            <v>1379</v>
          </cell>
          <cell r="AB35">
            <v>1381</v>
          </cell>
          <cell r="AC35">
            <v>1383</v>
          </cell>
          <cell r="AD35">
            <v>1384</v>
          </cell>
          <cell r="AE35">
            <v>1390</v>
          </cell>
          <cell r="AF35">
            <v>1391</v>
          </cell>
          <cell r="AG35">
            <v>1392</v>
          </cell>
          <cell r="AH35">
            <v>1393</v>
          </cell>
          <cell r="AI35">
            <v>1393</v>
          </cell>
        </row>
        <row r="36">
          <cell r="A36">
            <v>33</v>
          </cell>
          <cell r="B36" t="str">
            <v xml:space="preserve">Industrial </v>
          </cell>
          <cell r="E36">
            <v>77</v>
          </cell>
          <cell r="F36">
            <v>77</v>
          </cell>
          <cell r="G36">
            <v>77</v>
          </cell>
          <cell r="H36">
            <v>78</v>
          </cell>
          <cell r="I36">
            <v>79</v>
          </cell>
          <cell r="J36">
            <v>79</v>
          </cell>
          <cell r="K36">
            <v>79</v>
          </cell>
          <cell r="L36">
            <v>78</v>
          </cell>
          <cell r="M36">
            <v>78</v>
          </cell>
          <cell r="N36">
            <v>79</v>
          </cell>
          <cell r="O36">
            <v>79</v>
          </cell>
          <cell r="P36">
            <v>79</v>
          </cell>
          <cell r="T36">
            <v>33</v>
          </cell>
          <cell r="U36" t="str">
            <v xml:space="preserve">Industrial </v>
          </cell>
          <cell r="X36">
            <v>72</v>
          </cell>
          <cell r="Y36">
            <v>72</v>
          </cell>
          <cell r="Z36">
            <v>72</v>
          </cell>
          <cell r="AA36">
            <v>72</v>
          </cell>
          <cell r="AB36">
            <v>72</v>
          </cell>
          <cell r="AC36">
            <v>72</v>
          </cell>
          <cell r="AD36">
            <v>72</v>
          </cell>
          <cell r="AE36">
            <v>72</v>
          </cell>
          <cell r="AF36">
            <v>72</v>
          </cell>
          <cell r="AG36">
            <v>72</v>
          </cell>
          <cell r="AH36">
            <v>72</v>
          </cell>
          <cell r="AI36">
            <v>73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17084</v>
          </cell>
          <cell r="F38">
            <v>17108</v>
          </cell>
          <cell r="G38">
            <v>17146</v>
          </cell>
          <cell r="H38">
            <v>17190</v>
          </cell>
          <cell r="I38">
            <v>17199</v>
          </cell>
          <cell r="J38">
            <v>17208</v>
          </cell>
          <cell r="K38">
            <v>17212</v>
          </cell>
          <cell r="L38">
            <v>17219</v>
          </cell>
          <cell r="M38">
            <v>17234</v>
          </cell>
          <cell r="N38">
            <v>17248</v>
          </cell>
          <cell r="O38">
            <v>17271</v>
          </cell>
          <cell r="P38">
            <v>17296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16620</v>
          </cell>
          <cell r="Y38">
            <v>16656</v>
          </cell>
          <cell r="Z38">
            <v>16692</v>
          </cell>
          <cell r="AA38">
            <v>16727</v>
          </cell>
          <cell r="AB38">
            <v>16741</v>
          </cell>
          <cell r="AC38">
            <v>16740</v>
          </cell>
          <cell r="AD38">
            <v>16739</v>
          </cell>
          <cell r="AE38">
            <v>16760</v>
          </cell>
          <cell r="AF38">
            <v>16766</v>
          </cell>
          <cell r="AG38">
            <v>16774</v>
          </cell>
          <cell r="AH38">
            <v>16786</v>
          </cell>
          <cell r="AI38">
            <v>16806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41014.31492842536</v>
          </cell>
          <cell r="F41">
            <v>77481.059499464405</v>
          </cell>
          <cell r="G41">
            <v>119748.85577953063</v>
          </cell>
          <cell r="H41">
            <v>154089.49264777487</v>
          </cell>
          <cell r="I41">
            <v>174925.60132437435</v>
          </cell>
          <cell r="J41">
            <v>193768.42925309186</v>
          </cell>
          <cell r="K41">
            <v>210884.31200701144</v>
          </cell>
          <cell r="L41">
            <v>226334.20975752268</v>
          </cell>
          <cell r="M41">
            <v>245312.49391372094</v>
          </cell>
          <cell r="N41">
            <v>263509.49459538423</v>
          </cell>
          <cell r="O41">
            <v>294320.86863375211</v>
          </cell>
          <cell r="P41">
            <v>329246.37257766095</v>
          </cell>
          <cell r="T41">
            <v>38</v>
          </cell>
          <cell r="U41" t="str">
            <v>Residential</v>
          </cell>
          <cell r="X41">
            <v>44786.63940013633</v>
          </cell>
          <cell r="Y41">
            <v>93369.65624695686</v>
          </cell>
          <cell r="Z41">
            <v>134844.5807770961</v>
          </cell>
          <cell r="AA41">
            <v>168060.57064952768</v>
          </cell>
          <cell r="AB41">
            <v>189757.42526049272</v>
          </cell>
          <cell r="AC41">
            <v>207545.52536761123</v>
          </cell>
          <cell r="AD41">
            <v>222705.32671146165</v>
          </cell>
          <cell r="AE41">
            <v>237307.430129516</v>
          </cell>
          <cell r="AF41">
            <v>253580.38757425259</v>
          </cell>
          <cell r="AG41">
            <v>273490.67874184466</v>
          </cell>
          <cell r="AH41">
            <v>300368.36887720349</v>
          </cell>
          <cell r="AI41">
            <v>333664.98977505136</v>
          </cell>
        </row>
        <row r="42">
          <cell r="A42">
            <v>39</v>
          </cell>
          <cell r="B42" t="str">
            <v>Commercial</v>
          </cell>
          <cell r="E42">
            <v>493630.34375304315</v>
          </cell>
          <cell r="F42">
            <v>952485.9285227384</v>
          </cell>
          <cell r="G42">
            <v>1424554.9712727629</v>
          </cell>
          <cell r="H42">
            <v>1872789.1712922389</v>
          </cell>
          <cell r="I42">
            <v>2307865.0306748468</v>
          </cell>
          <cell r="J42">
            <v>2724011.7830363233</v>
          </cell>
          <cell r="K42">
            <v>3171715.0647580097</v>
          </cell>
          <cell r="L42">
            <v>3593889.2784107509</v>
          </cell>
          <cell r="M42">
            <v>3866899.3085986953</v>
          </cell>
          <cell r="N42">
            <v>4233507.4496056093</v>
          </cell>
          <cell r="O42">
            <v>4599556.5293602105</v>
          </cell>
          <cell r="P42">
            <v>4993366.0531697348</v>
          </cell>
          <cell r="T42">
            <v>39</v>
          </cell>
          <cell r="U42" t="str">
            <v>Commercial</v>
          </cell>
          <cell r="X42">
            <v>477194.66355049179</v>
          </cell>
          <cell r="Y42">
            <v>936236.73191157856</v>
          </cell>
          <cell r="Z42">
            <v>1409822.8649332945</v>
          </cell>
          <cell r="AA42">
            <v>1878030.090563833</v>
          </cell>
          <cell r="AB42">
            <v>2315386.6978284158</v>
          </cell>
          <cell r="AC42">
            <v>2730711.5590612525</v>
          </cell>
          <cell r="AD42">
            <v>3135073.3274905058</v>
          </cell>
          <cell r="AE42">
            <v>3577433.5378323114</v>
          </cell>
          <cell r="AF42">
            <v>4010255.0394390891</v>
          </cell>
          <cell r="AG42">
            <v>4460288.4039341714</v>
          </cell>
          <cell r="AH42">
            <v>4917760.9913331391</v>
          </cell>
          <cell r="AI42">
            <v>5886173.3976044413</v>
          </cell>
        </row>
        <row r="43">
          <cell r="A43">
            <v>40</v>
          </cell>
          <cell r="B43" t="str">
            <v xml:space="preserve">Industrial </v>
          </cell>
          <cell r="E43">
            <v>1146762.8785665596</v>
          </cell>
          <cell r="F43">
            <v>2086784.4970298959</v>
          </cell>
          <cell r="G43">
            <v>3172027.4612912647</v>
          </cell>
          <cell r="H43">
            <v>4041744.7657999801</v>
          </cell>
          <cell r="I43">
            <v>5119020.644658681</v>
          </cell>
          <cell r="J43">
            <v>5958291.3623527121</v>
          </cell>
          <cell r="K43">
            <v>6840463.8231570749</v>
          </cell>
          <cell r="L43">
            <v>7682048.9823741354</v>
          </cell>
          <cell r="M43">
            <v>8286213.5553607941</v>
          </cell>
          <cell r="N43">
            <v>9233383.873794917</v>
          </cell>
          <cell r="O43">
            <v>10138766.189502386</v>
          </cell>
          <cell r="P43">
            <v>11244275.878858702</v>
          </cell>
          <cell r="T43">
            <v>40</v>
          </cell>
          <cell r="U43" t="str">
            <v xml:space="preserve">Industrial </v>
          </cell>
          <cell r="X43">
            <v>1095256.6949070017</v>
          </cell>
          <cell r="Y43">
            <v>2089974.4863180446</v>
          </cell>
          <cell r="Z43">
            <v>3207529.1654494107</v>
          </cell>
          <cell r="AA43">
            <v>4165444.9313467718</v>
          </cell>
          <cell r="AB43">
            <v>5196733.9565683119</v>
          </cell>
          <cell r="AC43">
            <v>5932074.3986756252</v>
          </cell>
          <cell r="AD43">
            <v>6632311.0332067385</v>
          </cell>
          <cell r="AE43">
            <v>7524718.0835524388</v>
          </cell>
          <cell r="AF43">
            <v>8185240.1402278692</v>
          </cell>
          <cell r="AG43">
            <v>9208979.6802278683</v>
          </cell>
          <cell r="AH43">
            <v>10099465.12184828</v>
          </cell>
          <cell r="AI43">
            <v>10717532.314369461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1681407.5372480282</v>
          </cell>
          <cell r="F45">
            <v>3116751.4850520985</v>
          </cell>
          <cell r="G45">
            <v>4716331.2883435581</v>
          </cell>
          <cell r="H45">
            <v>6068623.429739994</v>
          </cell>
          <cell r="I45">
            <v>7601811.2766579017</v>
          </cell>
          <cell r="J45">
            <v>8876071.5746421274</v>
          </cell>
          <cell r="K45">
            <v>10223063.199922096</v>
          </cell>
          <cell r="L45">
            <v>11502272.470542409</v>
          </cell>
          <cell r="M45">
            <v>12398425.357873211</v>
          </cell>
          <cell r="N45">
            <v>13730400.81799591</v>
          </cell>
          <cell r="O45">
            <v>15032643.587496348</v>
          </cell>
          <cell r="P45">
            <v>16566888.304606099</v>
          </cell>
          <cell r="T45">
            <v>42</v>
          </cell>
          <cell r="U45" t="str">
            <v>Total Volume</v>
          </cell>
          <cell r="X45">
            <v>1617237.9978576298</v>
          </cell>
          <cell r="Y45">
            <v>3119580.8744765799</v>
          </cell>
          <cell r="Z45">
            <v>4752196.6111598015</v>
          </cell>
          <cell r="AA45">
            <v>6211535.592560133</v>
          </cell>
          <cell r="AB45">
            <v>7701878.0796572203</v>
          </cell>
          <cell r="AC45">
            <v>8870331.4831044897</v>
          </cell>
          <cell r="AD45">
            <v>9990089.6874087062</v>
          </cell>
          <cell r="AE45">
            <v>11339459.051514266</v>
          </cell>
          <cell r="AF45">
            <v>12449075.56724121</v>
          </cell>
          <cell r="AG45">
            <v>13942758.762903884</v>
          </cell>
          <cell r="AH45">
            <v>15317594.482058622</v>
          </cell>
          <cell r="AI45">
            <v>16937370.701748952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42118</v>
          </cell>
          <cell r="F48">
            <v>79566</v>
          </cell>
          <cell r="G48">
            <v>122971</v>
          </cell>
          <cell r="H48">
            <v>158235</v>
          </cell>
          <cell r="I48">
            <v>179632</v>
          </cell>
          <cell r="J48">
            <v>198982</v>
          </cell>
          <cell r="K48">
            <v>216558</v>
          </cell>
          <cell r="L48">
            <v>232424</v>
          </cell>
          <cell r="M48">
            <v>251913</v>
          </cell>
          <cell r="N48">
            <v>270600</v>
          </cell>
          <cell r="O48">
            <v>302240</v>
          </cell>
          <cell r="P48">
            <v>338105</v>
          </cell>
          <cell r="T48">
            <v>45</v>
          </cell>
          <cell r="U48" t="str">
            <v>Residential</v>
          </cell>
          <cell r="X48">
            <v>45991</v>
          </cell>
          <cell r="Y48">
            <v>95881</v>
          </cell>
          <cell r="Z48">
            <v>138472</v>
          </cell>
          <cell r="AA48">
            <v>172582</v>
          </cell>
          <cell r="AB48">
            <v>194863</v>
          </cell>
          <cell r="AC48">
            <v>213130</v>
          </cell>
          <cell r="AD48">
            <v>228698</v>
          </cell>
          <cell r="AE48">
            <v>243693</v>
          </cell>
          <cell r="AF48">
            <v>260404</v>
          </cell>
          <cell r="AG48">
            <v>280850</v>
          </cell>
          <cell r="AH48">
            <v>308451</v>
          </cell>
          <cell r="AI48">
            <v>342643</v>
          </cell>
        </row>
        <row r="49">
          <cell r="A49">
            <v>46</v>
          </cell>
          <cell r="B49" t="str">
            <v>Commercial</v>
          </cell>
          <cell r="E49">
            <v>506909</v>
          </cell>
          <cell r="F49">
            <v>978108</v>
          </cell>
          <cell r="G49">
            <v>1462876</v>
          </cell>
          <cell r="H49">
            <v>1923168</v>
          </cell>
          <cell r="I49">
            <v>2369947</v>
          </cell>
          <cell r="J49">
            <v>2797288</v>
          </cell>
          <cell r="K49">
            <v>3257035</v>
          </cell>
          <cell r="L49">
            <v>3690566</v>
          </cell>
          <cell r="M49">
            <v>3970920</v>
          </cell>
          <cell r="N49">
            <v>4347390</v>
          </cell>
          <cell r="O49">
            <v>4723286</v>
          </cell>
          <cell r="P49">
            <v>5127689</v>
          </cell>
          <cell r="T49">
            <v>46</v>
          </cell>
          <cell r="U49" t="str">
            <v>Commercial</v>
          </cell>
          <cell r="X49">
            <v>490031</v>
          </cell>
          <cell r="Y49">
            <v>961421</v>
          </cell>
          <cell r="Z49">
            <v>1447747</v>
          </cell>
          <cell r="AA49">
            <v>1928549</v>
          </cell>
          <cell r="AB49">
            <v>2377671</v>
          </cell>
          <cell r="AC49">
            <v>2804168</v>
          </cell>
          <cell r="AD49">
            <v>3219407</v>
          </cell>
          <cell r="AE49">
            <v>3673667</v>
          </cell>
          <cell r="AF49">
            <v>4118131</v>
          </cell>
          <cell r="AG49">
            <v>4580270</v>
          </cell>
          <cell r="AH49">
            <v>5050049</v>
          </cell>
          <cell r="AI49">
            <v>6044512</v>
          </cell>
        </row>
        <row r="50">
          <cell r="A50">
            <v>47</v>
          </cell>
          <cell r="B50" t="str">
            <v xml:space="preserve">Industrial </v>
          </cell>
          <cell r="E50">
            <v>1177611</v>
          </cell>
          <cell r="F50">
            <v>2142919</v>
          </cell>
          <cell r="G50">
            <v>3257355</v>
          </cell>
          <cell r="H50">
            <v>4150468</v>
          </cell>
          <cell r="I50">
            <v>5256723</v>
          </cell>
          <cell r="J50">
            <v>6118570</v>
          </cell>
          <cell r="K50">
            <v>7024473</v>
          </cell>
          <cell r="L50">
            <v>7888697</v>
          </cell>
          <cell r="M50">
            <v>8509114</v>
          </cell>
          <cell r="N50">
            <v>9481763</v>
          </cell>
          <cell r="O50">
            <v>10411500</v>
          </cell>
          <cell r="P50">
            <v>11546748</v>
          </cell>
          <cell r="T50">
            <v>47</v>
          </cell>
          <cell r="U50" t="str">
            <v xml:space="preserve">Industrial </v>
          </cell>
          <cell r="X50">
            <v>1124719</v>
          </cell>
          <cell r="Y50">
            <v>2146195</v>
          </cell>
          <cell r="Z50">
            <v>3293812</v>
          </cell>
          <cell r="AA50">
            <v>4277496</v>
          </cell>
          <cell r="AB50">
            <v>5336527</v>
          </cell>
          <cell r="AC50">
            <v>6091648</v>
          </cell>
          <cell r="AD50">
            <v>6810721</v>
          </cell>
          <cell r="AE50">
            <v>7727134</v>
          </cell>
          <cell r="AF50">
            <v>8405424</v>
          </cell>
          <cell r="AG50">
            <v>9456702</v>
          </cell>
          <cell r="AH50">
            <v>10371142</v>
          </cell>
          <cell r="AI50">
            <v>11005835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1726638</v>
          </cell>
          <cell r="F52">
            <v>3200593</v>
          </cell>
          <cell r="G52">
            <v>4843202</v>
          </cell>
          <cell r="H52">
            <v>6231871</v>
          </cell>
          <cell r="I52">
            <v>7806302</v>
          </cell>
          <cell r="J52">
            <v>9114840</v>
          </cell>
          <cell r="K52">
            <v>10498066</v>
          </cell>
          <cell r="L52">
            <v>11811687</v>
          </cell>
          <cell r="M52">
            <v>12731947</v>
          </cell>
          <cell r="N52">
            <v>14099753</v>
          </cell>
          <cell r="O52">
            <v>15437026</v>
          </cell>
          <cell r="P52">
            <v>17012542</v>
          </cell>
          <cell r="T52">
            <v>49</v>
          </cell>
          <cell r="U52" t="str">
            <v>Total Volume</v>
          </cell>
          <cell r="W52">
            <v>0</v>
          </cell>
          <cell r="X52">
            <v>1660741</v>
          </cell>
          <cell r="Y52">
            <v>3203497</v>
          </cell>
          <cell r="Z52">
            <v>4880031</v>
          </cell>
          <cell r="AA52">
            <v>6378627</v>
          </cell>
          <cell r="AB52">
            <v>7909061</v>
          </cell>
          <cell r="AC52">
            <v>9108946</v>
          </cell>
          <cell r="AD52">
            <v>10258826</v>
          </cell>
          <cell r="AE52">
            <v>11644494</v>
          </cell>
          <cell r="AF52">
            <v>12783959</v>
          </cell>
          <cell r="AG52">
            <v>14317822</v>
          </cell>
          <cell r="AH52">
            <v>15729642</v>
          </cell>
          <cell r="AI52">
            <v>17392990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17028</v>
          </cell>
          <cell r="F55">
            <v>17054</v>
          </cell>
          <cell r="G55">
            <v>17054</v>
          </cell>
          <cell r="H55">
            <v>17068</v>
          </cell>
          <cell r="I55">
            <v>17063</v>
          </cell>
          <cell r="J55">
            <v>17048</v>
          </cell>
          <cell r="K55">
            <v>17042</v>
          </cell>
          <cell r="L55">
            <v>17040</v>
          </cell>
          <cell r="M55">
            <v>17042</v>
          </cell>
          <cell r="N55">
            <v>17050</v>
          </cell>
          <cell r="O55">
            <v>17065</v>
          </cell>
          <cell r="P55">
            <v>17088</v>
          </cell>
        </row>
        <row r="56">
          <cell r="A56">
            <v>53</v>
          </cell>
          <cell r="B56" t="str">
            <v>Cumulative Budget YTD Volume (Mcfs)</v>
          </cell>
          <cell r="E56">
            <v>1536920.3476482618</v>
          </cell>
          <cell r="F56">
            <v>2990551.2279676697</v>
          </cell>
          <cell r="G56">
            <v>4461021.7061057556</v>
          </cell>
          <cell r="H56">
            <v>5815676.0112961344</v>
          </cell>
          <cell r="I56">
            <v>7362739.022300127</v>
          </cell>
          <cell r="J56">
            <v>8583066.8468205277</v>
          </cell>
          <cell r="K56">
            <v>9899814.8553900085</v>
          </cell>
          <cell r="L56">
            <v>11024148.547083454</v>
          </cell>
          <cell r="M56">
            <v>12028716.396922776</v>
          </cell>
          <cell r="N56">
            <v>13126211.75966501</v>
          </cell>
          <cell r="O56">
            <v>14294326.812737364</v>
          </cell>
          <cell r="P56">
            <v>15804148.346479695</v>
          </cell>
        </row>
        <row r="57">
          <cell r="A57">
            <v>54</v>
          </cell>
          <cell r="B57" t="str">
            <v>Cumulative YTD Budget Volume (Dts) * 1.0269</v>
          </cell>
          <cell r="E57">
            <v>1578264</v>
          </cell>
          <cell r="F57">
            <v>3070998</v>
          </cell>
          <cell r="G57">
            <v>4581024</v>
          </cell>
          <cell r="H57">
            <v>5972119</v>
          </cell>
          <cell r="I57">
            <v>7560798</v>
          </cell>
          <cell r="J57">
            <v>8813953</v>
          </cell>
          <cell r="K57">
            <v>10166122</v>
          </cell>
          <cell r="L57">
            <v>11320700</v>
          </cell>
          <cell r="M57">
            <v>12352291</v>
          </cell>
          <cell r="N57">
            <v>13479309</v>
          </cell>
          <cell r="O57">
            <v>14678846</v>
          </cell>
          <cell r="P57">
            <v>16229282</v>
          </cell>
        </row>
      </sheetData>
      <sheetData sheetId="12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54410</v>
          </cell>
          <cell r="D5">
            <v>652917</v>
          </cell>
          <cell r="E5">
            <v>53892</v>
          </cell>
          <cell r="F5">
            <v>54006</v>
          </cell>
          <cell r="G5">
            <v>54224</v>
          </cell>
          <cell r="H5">
            <v>54411</v>
          </cell>
          <cell r="I5">
            <v>54379</v>
          </cell>
          <cell r="J5">
            <v>54265</v>
          </cell>
          <cell r="K5">
            <v>54436</v>
          </cell>
          <cell r="L5">
            <v>54562</v>
          </cell>
          <cell r="M5">
            <v>54630</v>
          </cell>
          <cell r="N5">
            <v>54578</v>
          </cell>
          <cell r="O5">
            <v>54633</v>
          </cell>
          <cell r="P5">
            <v>54901</v>
          </cell>
          <cell r="T5">
            <v>2</v>
          </cell>
          <cell r="U5" t="str">
            <v>Residential</v>
          </cell>
          <cell r="X5">
            <v>52941</v>
          </cell>
          <cell r="Y5">
            <v>52987</v>
          </cell>
          <cell r="Z5">
            <v>53205</v>
          </cell>
          <cell r="AA5">
            <v>53269</v>
          </cell>
          <cell r="AB5">
            <v>53238</v>
          </cell>
          <cell r="AC5">
            <v>53352</v>
          </cell>
          <cell r="AD5">
            <v>53231</v>
          </cell>
          <cell r="AE5">
            <v>53318</v>
          </cell>
          <cell r="AF5">
            <v>53393</v>
          </cell>
          <cell r="AG5">
            <v>53380</v>
          </cell>
          <cell r="AH5">
            <v>53541</v>
          </cell>
          <cell r="AI5">
            <v>53743</v>
          </cell>
        </row>
        <row r="6">
          <cell r="A6">
            <v>3</v>
          </cell>
          <cell r="B6" t="str">
            <v>Commercial</v>
          </cell>
          <cell r="C6">
            <v>4054</v>
          </cell>
          <cell r="D6">
            <v>48642</v>
          </cell>
          <cell r="E6">
            <v>4186</v>
          </cell>
          <cell r="F6">
            <v>4183</v>
          </cell>
          <cell r="G6">
            <v>4151</v>
          </cell>
          <cell r="H6">
            <v>4119</v>
          </cell>
          <cell r="I6">
            <v>4066</v>
          </cell>
          <cell r="J6">
            <v>4031</v>
          </cell>
          <cell r="K6">
            <v>4039</v>
          </cell>
          <cell r="L6">
            <v>4007</v>
          </cell>
          <cell r="M6">
            <v>3974</v>
          </cell>
          <cell r="N6">
            <v>3968</v>
          </cell>
          <cell r="O6">
            <v>3955</v>
          </cell>
          <cell r="P6">
            <v>3963</v>
          </cell>
          <cell r="T6">
            <v>3</v>
          </cell>
          <cell r="U6" t="str">
            <v>Commercial</v>
          </cell>
          <cell r="X6">
            <v>4253</v>
          </cell>
          <cell r="Y6">
            <v>4265</v>
          </cell>
          <cell r="Z6">
            <v>4266</v>
          </cell>
          <cell r="AA6">
            <v>4277</v>
          </cell>
          <cell r="AB6">
            <v>4268</v>
          </cell>
          <cell r="AC6">
            <v>4249</v>
          </cell>
          <cell r="AD6">
            <v>4237</v>
          </cell>
          <cell r="AE6">
            <v>4213</v>
          </cell>
          <cell r="AF6">
            <v>4199</v>
          </cell>
          <cell r="AG6">
            <v>4193</v>
          </cell>
          <cell r="AH6">
            <v>4195</v>
          </cell>
          <cell r="AI6">
            <v>4213</v>
          </cell>
        </row>
        <row r="7">
          <cell r="A7">
            <v>4</v>
          </cell>
          <cell r="B7" t="str">
            <v xml:space="preserve">Industrial </v>
          </cell>
          <cell r="C7">
            <v>2078</v>
          </cell>
          <cell r="D7">
            <v>24935</v>
          </cell>
          <cell r="E7">
            <v>1898</v>
          </cell>
          <cell r="F7">
            <v>1938</v>
          </cell>
          <cell r="G7">
            <v>1979</v>
          </cell>
          <cell r="H7">
            <v>2027</v>
          </cell>
          <cell r="I7">
            <v>2058</v>
          </cell>
          <cell r="J7">
            <v>2081</v>
          </cell>
          <cell r="K7">
            <v>2106</v>
          </cell>
          <cell r="L7">
            <v>2129</v>
          </cell>
          <cell r="M7">
            <v>2161</v>
          </cell>
          <cell r="N7">
            <v>2170</v>
          </cell>
          <cell r="O7">
            <v>2181</v>
          </cell>
          <cell r="P7">
            <v>2207</v>
          </cell>
          <cell r="T7">
            <v>4</v>
          </cell>
          <cell r="U7" t="str">
            <v>Industrial firm</v>
          </cell>
          <cell r="X7">
            <v>1706</v>
          </cell>
          <cell r="Y7">
            <v>1718</v>
          </cell>
          <cell r="Z7">
            <v>1723</v>
          </cell>
          <cell r="AA7">
            <v>1731</v>
          </cell>
          <cell r="AB7">
            <v>1746</v>
          </cell>
          <cell r="AC7">
            <v>1770</v>
          </cell>
          <cell r="AD7">
            <v>1789</v>
          </cell>
          <cell r="AE7">
            <v>1815</v>
          </cell>
          <cell r="AF7">
            <v>1839</v>
          </cell>
          <cell r="AG7">
            <v>1851</v>
          </cell>
          <cell r="AH7">
            <v>1861</v>
          </cell>
          <cell r="AI7">
            <v>1879</v>
          </cell>
        </row>
        <row r="8">
          <cell r="A8">
            <v>5</v>
          </cell>
          <cell r="B8" t="str">
            <v>Other</v>
          </cell>
          <cell r="C8">
            <v>10</v>
          </cell>
          <cell r="D8">
            <v>120</v>
          </cell>
          <cell r="E8">
            <v>10</v>
          </cell>
          <cell r="F8">
            <v>10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10</v>
          </cell>
          <cell r="T8">
            <v>5</v>
          </cell>
          <cell r="U8" t="str">
            <v>Other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2</v>
          </cell>
          <cell r="AD8">
            <v>2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2</v>
          </cell>
        </row>
        <row r="9">
          <cell r="A9">
            <v>6</v>
          </cell>
          <cell r="B9" t="str">
            <v>Total customers</v>
          </cell>
          <cell r="C9">
            <v>60552</v>
          </cell>
          <cell r="D9">
            <v>726494</v>
          </cell>
          <cell r="E9">
            <v>59986</v>
          </cell>
          <cell r="F9">
            <v>60137</v>
          </cell>
          <cell r="G9">
            <v>60364</v>
          </cell>
          <cell r="H9">
            <v>60567</v>
          </cell>
          <cell r="I9">
            <v>60513</v>
          </cell>
          <cell r="J9">
            <v>60387</v>
          </cell>
          <cell r="K9">
            <v>60591</v>
          </cell>
          <cell r="L9">
            <v>60708</v>
          </cell>
          <cell r="M9">
            <v>60775</v>
          </cell>
          <cell r="N9">
            <v>60726</v>
          </cell>
          <cell r="O9">
            <v>60779</v>
          </cell>
          <cell r="P9">
            <v>61081</v>
          </cell>
          <cell r="T9">
            <v>6</v>
          </cell>
          <cell r="U9" t="str">
            <v>Total customers</v>
          </cell>
          <cell r="X9">
            <v>58901</v>
          </cell>
          <cell r="Y9">
            <v>58971</v>
          </cell>
          <cell r="Z9">
            <v>59195</v>
          </cell>
          <cell r="AA9">
            <v>59278</v>
          </cell>
          <cell r="AB9">
            <v>59253</v>
          </cell>
          <cell r="AC9">
            <v>59373</v>
          </cell>
          <cell r="AD9">
            <v>59259</v>
          </cell>
          <cell r="AE9">
            <v>59348</v>
          </cell>
          <cell r="AF9">
            <v>59433</v>
          </cell>
          <cell r="AG9">
            <v>59426</v>
          </cell>
          <cell r="AH9">
            <v>59599</v>
          </cell>
          <cell r="AI9">
            <v>59837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- 2017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1315039.3417080536</v>
          </cell>
          <cell r="E12">
            <v>169015.09397214919</v>
          </cell>
          <cell r="F12">
            <v>147300.41873600159</v>
          </cell>
          <cell r="G12">
            <v>142162.1384750219</v>
          </cell>
          <cell r="H12">
            <v>128972.24656733859</v>
          </cell>
          <cell r="I12">
            <v>89320.38173142467</v>
          </cell>
          <cell r="J12">
            <v>78395.462070308684</v>
          </cell>
          <cell r="K12">
            <v>68637.063005161181</v>
          </cell>
          <cell r="L12">
            <v>61647.969617294773</v>
          </cell>
          <cell r="M12">
            <v>110360.40510273639</v>
          </cell>
          <cell r="N12">
            <v>75936.02103418055</v>
          </cell>
          <cell r="O12">
            <v>101296.52351738242</v>
          </cell>
          <cell r="P12">
            <v>141995.61787905349</v>
          </cell>
          <cell r="T12">
            <v>9</v>
          </cell>
          <cell r="U12" t="str">
            <v>Residential</v>
          </cell>
          <cell r="W12">
            <v>1274618.4486318044</v>
          </cell>
          <cell r="X12">
            <v>169382</v>
          </cell>
          <cell r="Y12">
            <v>176192</v>
          </cell>
          <cell r="Z12">
            <v>148059</v>
          </cell>
          <cell r="AA12">
            <v>116216</v>
          </cell>
          <cell r="AB12">
            <v>89463</v>
          </cell>
          <cell r="AC12">
            <v>76893.981887233414</v>
          </cell>
          <cell r="AD12">
            <v>67907.196221637932</v>
          </cell>
          <cell r="AE12">
            <v>57127</v>
          </cell>
          <cell r="AF12">
            <v>66640.321355536071</v>
          </cell>
          <cell r="AG12">
            <v>78785.860356412493</v>
          </cell>
          <cell r="AH12">
            <v>99029.116759178098</v>
          </cell>
          <cell r="AI12">
            <v>128922.97205180641</v>
          </cell>
        </row>
        <row r="13">
          <cell r="A13">
            <v>10</v>
          </cell>
          <cell r="B13" t="str">
            <v>Commercial</v>
          </cell>
          <cell r="D13">
            <v>1814340.9290096406</v>
          </cell>
          <cell r="E13">
            <v>203694.61486025903</v>
          </cell>
          <cell r="F13">
            <v>189911.38377641444</v>
          </cell>
          <cell r="G13">
            <v>191848.37861524979</v>
          </cell>
          <cell r="H13">
            <v>173820.04089979551</v>
          </cell>
          <cell r="I13">
            <v>138403.1551270815</v>
          </cell>
          <cell r="J13">
            <v>135097.38046547861</v>
          </cell>
          <cell r="K13">
            <v>124160.48300710876</v>
          </cell>
          <cell r="L13">
            <v>114400.72061544456</v>
          </cell>
          <cell r="M13">
            <v>118161.06728990164</v>
          </cell>
          <cell r="N13">
            <v>116538.70873502774</v>
          </cell>
          <cell r="O13">
            <v>143460.1226993865</v>
          </cell>
          <cell r="P13">
            <v>164844.87291849253</v>
          </cell>
          <cell r="T13">
            <v>10</v>
          </cell>
          <cell r="U13" t="str">
            <v>Commercial</v>
          </cell>
          <cell r="W13">
            <v>2077946.2477359043</v>
          </cell>
          <cell r="X13">
            <v>225740</v>
          </cell>
          <cell r="Y13">
            <v>225719</v>
          </cell>
          <cell r="Z13">
            <v>222736</v>
          </cell>
          <cell r="AA13">
            <v>189008</v>
          </cell>
          <cell r="AB13">
            <v>180679</v>
          </cell>
          <cell r="AC13">
            <v>148800.1791800565</v>
          </cell>
          <cell r="AD13">
            <v>133466.1969033012</v>
          </cell>
          <cell r="AE13">
            <v>126931</v>
          </cell>
          <cell r="AF13">
            <v>138040.40364202939</v>
          </cell>
          <cell r="AG13">
            <v>138868.53637160384</v>
          </cell>
          <cell r="AH13">
            <v>164677.18375693835</v>
          </cell>
          <cell r="AI13">
            <v>183280.74788197488</v>
          </cell>
        </row>
        <row r="14">
          <cell r="A14">
            <v>11</v>
          </cell>
          <cell r="B14" t="str">
            <v xml:space="preserve">Industrial </v>
          </cell>
          <cell r="D14">
            <v>4424749.3426818578</v>
          </cell>
          <cell r="E14">
            <v>400776.21969033009</v>
          </cell>
          <cell r="F14">
            <v>365848.6707566462</v>
          </cell>
          <cell r="G14">
            <v>391484.75995715259</v>
          </cell>
          <cell r="H14">
            <v>364629.46732885379</v>
          </cell>
          <cell r="I14">
            <v>356034.37530431396</v>
          </cell>
          <cell r="J14">
            <v>350939.91625279968</v>
          </cell>
          <cell r="K14">
            <v>375904.56714383099</v>
          </cell>
          <cell r="L14">
            <v>360230.69432271883</v>
          </cell>
          <cell r="M14">
            <v>318204.2068361087</v>
          </cell>
          <cell r="N14">
            <v>368503.94390885194</v>
          </cell>
          <cell r="O14">
            <v>366365.17674554483</v>
          </cell>
          <cell r="P14">
            <v>405827.34443470644</v>
          </cell>
          <cell r="T14">
            <v>11</v>
          </cell>
          <cell r="U14" t="str">
            <v>Industrial firm</v>
          </cell>
          <cell r="W14">
            <v>4182073.6436106316</v>
          </cell>
          <cell r="X14">
            <v>355054</v>
          </cell>
          <cell r="Y14">
            <v>347321</v>
          </cell>
          <cell r="Z14">
            <v>393890</v>
          </cell>
          <cell r="AA14">
            <v>348849</v>
          </cell>
          <cell r="AB14">
            <v>318053</v>
          </cell>
          <cell r="AC14">
            <v>339657.29866588768</v>
          </cell>
          <cell r="AD14">
            <v>343098.71681760636</v>
          </cell>
          <cell r="AE14">
            <v>331705</v>
          </cell>
          <cell r="AF14">
            <v>327401.63287564513</v>
          </cell>
          <cell r="AG14">
            <v>339993.84431177127</v>
          </cell>
          <cell r="AH14">
            <v>366784.30226896488</v>
          </cell>
          <cell r="AI14">
            <v>370265.84867075662</v>
          </cell>
        </row>
        <row r="15">
          <cell r="A15">
            <v>12</v>
          </cell>
          <cell r="B15" t="str">
            <v>Other</v>
          </cell>
          <cell r="D15">
            <v>1826625.8100107121</v>
          </cell>
          <cell r="E15">
            <v>163423.28269549127</v>
          </cell>
          <cell r="F15">
            <v>143313.67319115787</v>
          </cell>
          <cell r="G15">
            <v>168392.62245593534</v>
          </cell>
          <cell r="H15">
            <v>140425.77359041772</v>
          </cell>
          <cell r="I15">
            <v>162372.18229623136</v>
          </cell>
          <cell r="J15">
            <v>144374.66647190572</v>
          </cell>
          <cell r="K15">
            <v>91504.399552049857</v>
          </cell>
          <cell r="L15">
            <v>120529.95423118121</v>
          </cell>
          <cell r="M15">
            <v>114075.54825202063</v>
          </cell>
          <cell r="N15">
            <v>183923.95228357191</v>
          </cell>
          <cell r="O15">
            <v>193762.82724705423</v>
          </cell>
          <cell r="P15">
            <v>200526.92774369463</v>
          </cell>
          <cell r="T15">
            <v>12</v>
          </cell>
          <cell r="U15" t="str">
            <v>Other</v>
          </cell>
          <cell r="W15">
            <v>823952.30704060756</v>
          </cell>
          <cell r="X15">
            <v>-12552.932515337425</v>
          </cell>
          <cell r="Y15">
            <v>55423.579998052395</v>
          </cell>
          <cell r="Z15">
            <v>-3545.925114422047</v>
          </cell>
          <cell r="AA15">
            <v>-45617.861232836694</v>
          </cell>
          <cell r="AB15">
            <v>648</v>
          </cell>
          <cell r="AC15">
            <v>461.54737559645537</v>
          </cell>
          <cell r="AD15">
            <v>137286.81098451652</v>
          </cell>
          <cell r="AE15">
            <v>170908.94342194955</v>
          </cell>
          <cell r="AF15">
            <v>81740.224948875242</v>
          </cell>
          <cell r="AG15">
            <v>143197.34346090173</v>
          </cell>
          <cell r="AH15">
            <v>150251.17732982762</v>
          </cell>
          <cell r="AI15">
            <v>145751.39838348428</v>
          </cell>
        </row>
        <row r="16">
          <cell r="A16">
            <v>13</v>
          </cell>
          <cell r="B16" t="str">
            <v>Total Deliveries</v>
          </cell>
          <cell r="D16">
            <v>9380755.4234102648</v>
          </cell>
          <cell r="E16">
            <v>936909.21121822949</v>
          </cell>
          <cell r="F16">
            <v>846374.1464602201</v>
          </cell>
          <cell r="G16">
            <v>893887.89950335969</v>
          </cell>
          <cell r="H16">
            <v>807847.52838640555</v>
          </cell>
          <cell r="I16">
            <v>746130.0944590515</v>
          </cell>
          <cell r="J16">
            <v>708807.4252604926</v>
          </cell>
          <cell r="K16">
            <v>660206.51270815078</v>
          </cell>
          <cell r="L16">
            <v>656809.33878663927</v>
          </cell>
          <cell r="M16">
            <v>660801.22748076741</v>
          </cell>
          <cell r="N16">
            <v>744902.62596163223</v>
          </cell>
          <cell r="O16">
            <v>804884.65020936797</v>
          </cell>
          <cell r="P16">
            <v>913194.76297594712</v>
          </cell>
          <cell r="T16">
            <v>13</v>
          </cell>
          <cell r="U16" t="str">
            <v>Total Deliveries</v>
          </cell>
          <cell r="W16">
            <v>8358590.6470189486</v>
          </cell>
          <cell r="X16">
            <v>737623.06748466252</v>
          </cell>
          <cell r="Y16">
            <v>804655.57999805245</v>
          </cell>
          <cell r="Z16">
            <v>761139.07488557789</v>
          </cell>
          <cell r="AA16">
            <v>608455.13876716327</v>
          </cell>
          <cell r="AB16">
            <v>588843</v>
          </cell>
          <cell r="AC16">
            <v>565813.00710877404</v>
          </cell>
          <cell r="AD16">
            <v>681758.92092706193</v>
          </cell>
          <cell r="AE16">
            <v>686671.94342194952</v>
          </cell>
          <cell r="AF16">
            <v>613822.58282208582</v>
          </cell>
          <cell r="AG16">
            <v>700845.58450068941</v>
          </cell>
          <cell r="AH16">
            <v>780741.78011490894</v>
          </cell>
          <cell r="AI16">
            <v>828220.96698802221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53148</v>
          </cell>
          <cell r="D21">
            <v>637781</v>
          </cell>
          <cell r="E21">
            <v>52607</v>
          </cell>
          <cell r="F21">
            <v>52722</v>
          </cell>
          <cell r="G21">
            <v>52934</v>
          </cell>
          <cell r="H21">
            <v>53124</v>
          </cell>
          <cell r="I21">
            <v>53115</v>
          </cell>
          <cell r="J21">
            <v>53003</v>
          </cell>
          <cell r="K21">
            <v>53186</v>
          </cell>
          <cell r="L21">
            <v>53318</v>
          </cell>
          <cell r="M21">
            <v>53389</v>
          </cell>
          <cell r="N21">
            <v>53341</v>
          </cell>
          <cell r="O21">
            <v>53389</v>
          </cell>
          <cell r="P21">
            <v>53653</v>
          </cell>
          <cell r="T21">
            <v>18</v>
          </cell>
          <cell r="U21" t="str">
            <v>Residential</v>
          </cell>
          <cell r="X21">
            <v>51638</v>
          </cell>
          <cell r="Y21">
            <v>51695</v>
          </cell>
          <cell r="Z21">
            <v>51907</v>
          </cell>
          <cell r="AA21">
            <v>51978</v>
          </cell>
          <cell r="AB21">
            <v>51954</v>
          </cell>
          <cell r="AC21">
            <v>52078</v>
          </cell>
          <cell r="AD21">
            <v>51962</v>
          </cell>
          <cell r="AE21">
            <v>52045</v>
          </cell>
          <cell r="AF21">
            <v>52120</v>
          </cell>
          <cell r="AG21">
            <v>52115</v>
          </cell>
          <cell r="AH21">
            <v>52271</v>
          </cell>
          <cell r="AI21">
            <v>52465</v>
          </cell>
        </row>
        <row r="22">
          <cell r="A22">
            <v>19</v>
          </cell>
          <cell r="B22" t="str">
            <v>Commercial Small</v>
          </cell>
          <cell r="C22">
            <v>3248</v>
          </cell>
          <cell r="D22">
            <v>38978</v>
          </cell>
          <cell r="E22">
            <v>3321</v>
          </cell>
          <cell r="F22">
            <v>3322</v>
          </cell>
          <cell r="G22">
            <v>3303</v>
          </cell>
          <cell r="H22">
            <v>3282</v>
          </cell>
          <cell r="I22">
            <v>3250</v>
          </cell>
          <cell r="J22">
            <v>3235</v>
          </cell>
          <cell r="K22">
            <v>3244</v>
          </cell>
          <cell r="L22">
            <v>3228</v>
          </cell>
          <cell r="M22">
            <v>3209</v>
          </cell>
          <cell r="N22">
            <v>3198</v>
          </cell>
          <cell r="O22">
            <v>3185</v>
          </cell>
          <cell r="P22">
            <v>3201</v>
          </cell>
          <cell r="T22">
            <v>19</v>
          </cell>
          <cell r="U22" t="str">
            <v>Commercial Small</v>
          </cell>
          <cell r="X22">
            <v>3338</v>
          </cell>
          <cell r="Y22">
            <v>3346</v>
          </cell>
          <cell r="Z22">
            <v>3357</v>
          </cell>
          <cell r="AA22">
            <v>3369</v>
          </cell>
          <cell r="AB22">
            <v>3357</v>
          </cell>
          <cell r="AC22">
            <v>3342</v>
          </cell>
          <cell r="AD22">
            <v>3342</v>
          </cell>
          <cell r="AE22">
            <v>3318</v>
          </cell>
          <cell r="AF22">
            <v>3312</v>
          </cell>
          <cell r="AG22">
            <v>3310</v>
          </cell>
          <cell r="AH22">
            <v>3311</v>
          </cell>
          <cell r="AI22">
            <v>3326</v>
          </cell>
        </row>
        <row r="23">
          <cell r="A23">
            <v>20</v>
          </cell>
          <cell r="B23" t="str">
            <v>Commercial Large</v>
          </cell>
          <cell r="C23">
            <v>726</v>
          </cell>
          <cell r="D23">
            <v>8715</v>
          </cell>
          <cell r="E23">
            <v>780</v>
          </cell>
          <cell r="F23">
            <v>776</v>
          </cell>
          <cell r="G23">
            <v>763</v>
          </cell>
          <cell r="H23">
            <v>756</v>
          </cell>
          <cell r="I23">
            <v>738</v>
          </cell>
          <cell r="J23">
            <v>720</v>
          </cell>
          <cell r="K23">
            <v>718</v>
          </cell>
          <cell r="L23">
            <v>702</v>
          </cell>
          <cell r="M23">
            <v>689</v>
          </cell>
          <cell r="N23">
            <v>693</v>
          </cell>
          <cell r="O23">
            <v>694</v>
          </cell>
          <cell r="P23">
            <v>686</v>
          </cell>
          <cell r="T23">
            <v>20</v>
          </cell>
          <cell r="U23" t="str">
            <v>Commercial Large</v>
          </cell>
          <cell r="X23">
            <v>809</v>
          </cell>
          <cell r="Y23">
            <v>810</v>
          </cell>
          <cell r="Z23">
            <v>800</v>
          </cell>
          <cell r="AA23">
            <v>799</v>
          </cell>
          <cell r="AB23">
            <v>802</v>
          </cell>
          <cell r="AC23">
            <v>798</v>
          </cell>
          <cell r="AD23">
            <v>789</v>
          </cell>
          <cell r="AE23">
            <v>789</v>
          </cell>
          <cell r="AF23">
            <v>782</v>
          </cell>
          <cell r="AG23">
            <v>780</v>
          </cell>
          <cell r="AH23">
            <v>780</v>
          </cell>
          <cell r="AI23">
            <v>782</v>
          </cell>
        </row>
        <row r="24">
          <cell r="A24">
            <v>21</v>
          </cell>
          <cell r="B24" t="str">
            <v>Outdoor Lights</v>
          </cell>
          <cell r="C24">
            <v>55</v>
          </cell>
          <cell r="D24">
            <v>655</v>
          </cell>
          <cell r="E24">
            <v>60</v>
          </cell>
          <cell r="F24">
            <v>60</v>
          </cell>
          <cell r="G24">
            <v>60</v>
          </cell>
          <cell r="H24">
            <v>56</v>
          </cell>
          <cell r="I24">
            <v>54</v>
          </cell>
          <cell r="J24">
            <v>52</v>
          </cell>
          <cell r="K24">
            <v>52</v>
          </cell>
          <cell r="L24">
            <v>52</v>
          </cell>
          <cell r="M24">
            <v>52</v>
          </cell>
          <cell r="N24">
            <v>53</v>
          </cell>
          <cell r="O24">
            <v>52</v>
          </cell>
          <cell r="P24">
            <v>52</v>
          </cell>
          <cell r="T24">
            <v>21</v>
          </cell>
          <cell r="U24" t="str">
            <v>Outdoor Lights</v>
          </cell>
          <cell r="X24">
            <v>62</v>
          </cell>
          <cell r="Y24">
            <v>64</v>
          </cell>
          <cell r="Z24">
            <v>64</v>
          </cell>
          <cell r="AA24">
            <v>64</v>
          </cell>
          <cell r="AB24">
            <v>64</v>
          </cell>
          <cell r="AC24">
            <v>64</v>
          </cell>
          <cell r="AD24">
            <v>62</v>
          </cell>
          <cell r="AE24">
            <v>62</v>
          </cell>
          <cell r="AF24">
            <v>62</v>
          </cell>
          <cell r="AG24">
            <v>60</v>
          </cell>
          <cell r="AH24">
            <v>60</v>
          </cell>
          <cell r="AI24">
            <v>60</v>
          </cell>
        </row>
        <row r="25">
          <cell r="A25">
            <v>22</v>
          </cell>
          <cell r="B25" t="str">
            <v>Interdepartmental/Special Contracts</v>
          </cell>
          <cell r="C25">
            <v>3</v>
          </cell>
          <cell r="D25">
            <v>36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T25">
            <v>22</v>
          </cell>
          <cell r="U25" t="str">
            <v>Interdepartmental/Special Contracts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2</v>
          </cell>
          <cell r="AD25">
            <v>2</v>
          </cell>
          <cell r="AE25">
            <v>2</v>
          </cell>
          <cell r="AF25">
            <v>2</v>
          </cell>
          <cell r="AG25">
            <v>2</v>
          </cell>
          <cell r="AH25">
            <v>2</v>
          </cell>
          <cell r="AI25">
            <v>2</v>
          </cell>
        </row>
        <row r="26">
          <cell r="A26">
            <v>23</v>
          </cell>
          <cell r="B26" t="str">
            <v>Commercial Small Transp</v>
          </cell>
          <cell r="C26">
            <v>905</v>
          </cell>
          <cell r="D26">
            <v>10865</v>
          </cell>
          <cell r="E26">
            <v>793</v>
          </cell>
          <cell r="F26">
            <v>819</v>
          </cell>
          <cell r="G26">
            <v>843</v>
          </cell>
          <cell r="H26">
            <v>875</v>
          </cell>
          <cell r="I26">
            <v>897</v>
          </cell>
          <cell r="J26">
            <v>908</v>
          </cell>
          <cell r="K26">
            <v>919</v>
          </cell>
          <cell r="L26">
            <v>936</v>
          </cell>
          <cell r="M26">
            <v>957</v>
          </cell>
          <cell r="N26">
            <v>962</v>
          </cell>
          <cell r="O26">
            <v>972</v>
          </cell>
          <cell r="P26">
            <v>984</v>
          </cell>
          <cell r="T26">
            <v>23</v>
          </cell>
          <cell r="U26" t="str">
            <v>Commercial Small Transp</v>
          </cell>
          <cell r="X26">
            <v>678</v>
          </cell>
          <cell r="Y26">
            <v>681</v>
          </cell>
          <cell r="Z26">
            <v>679</v>
          </cell>
          <cell r="AA26">
            <v>686</v>
          </cell>
          <cell r="AB26">
            <v>699</v>
          </cell>
          <cell r="AC26">
            <v>711</v>
          </cell>
          <cell r="AD26">
            <v>731</v>
          </cell>
          <cell r="AE26">
            <v>750</v>
          </cell>
          <cell r="AF26">
            <v>765</v>
          </cell>
          <cell r="AG26">
            <v>773</v>
          </cell>
          <cell r="AH26">
            <v>778</v>
          </cell>
          <cell r="AI26">
            <v>793</v>
          </cell>
        </row>
        <row r="27">
          <cell r="A27">
            <v>24</v>
          </cell>
          <cell r="B27" t="str">
            <v>Commercial Large Transp</v>
          </cell>
          <cell r="C27">
            <v>1134</v>
          </cell>
          <cell r="D27">
            <v>13605</v>
          </cell>
          <cell r="E27">
            <v>1066</v>
          </cell>
          <cell r="F27">
            <v>1080</v>
          </cell>
          <cell r="G27">
            <v>1097</v>
          </cell>
          <cell r="H27">
            <v>1111</v>
          </cell>
          <cell r="I27">
            <v>1122</v>
          </cell>
          <cell r="J27">
            <v>1136</v>
          </cell>
          <cell r="K27">
            <v>1149</v>
          </cell>
          <cell r="L27">
            <v>1155</v>
          </cell>
          <cell r="M27">
            <v>1165</v>
          </cell>
          <cell r="N27">
            <v>1169</v>
          </cell>
          <cell r="O27">
            <v>1170</v>
          </cell>
          <cell r="P27">
            <v>1185</v>
          </cell>
          <cell r="T27">
            <v>24</v>
          </cell>
          <cell r="U27" t="str">
            <v>Commercial Large Transp</v>
          </cell>
          <cell r="X27">
            <v>1001</v>
          </cell>
          <cell r="Y27">
            <v>1010</v>
          </cell>
          <cell r="Z27">
            <v>1017</v>
          </cell>
          <cell r="AA27">
            <v>1018</v>
          </cell>
          <cell r="AB27">
            <v>1020</v>
          </cell>
          <cell r="AC27">
            <v>1032</v>
          </cell>
          <cell r="AD27">
            <v>1031</v>
          </cell>
          <cell r="AE27">
            <v>1037</v>
          </cell>
          <cell r="AF27">
            <v>1047</v>
          </cell>
          <cell r="AG27">
            <v>1053</v>
          </cell>
          <cell r="AH27">
            <v>1054</v>
          </cell>
          <cell r="AI27">
            <v>1059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212</v>
          </cell>
          <cell r="E28">
            <v>18</v>
          </cell>
          <cell r="F28">
            <v>19</v>
          </cell>
          <cell r="G28">
            <v>19</v>
          </cell>
          <cell r="H28">
            <v>20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17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18</v>
          </cell>
          <cell r="AC28">
            <v>18</v>
          </cell>
          <cell r="AD28">
            <v>18</v>
          </cell>
          <cell r="AE28">
            <v>19</v>
          </cell>
          <cell r="AF28">
            <v>18</v>
          </cell>
          <cell r="AG28">
            <v>16</v>
          </cell>
          <cell r="AH28">
            <v>20</v>
          </cell>
          <cell r="AI28">
            <v>18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710847</v>
          </cell>
          <cell r="E30">
            <v>58648</v>
          </cell>
          <cell r="F30">
            <v>58801</v>
          </cell>
          <cell r="G30">
            <v>59022</v>
          </cell>
          <cell r="H30">
            <v>59227</v>
          </cell>
          <cell r="I30">
            <v>59196</v>
          </cell>
          <cell r="J30">
            <v>59074</v>
          </cell>
          <cell r="K30">
            <v>59288</v>
          </cell>
          <cell r="L30">
            <v>59411</v>
          </cell>
          <cell r="M30">
            <v>59481</v>
          </cell>
          <cell r="N30">
            <v>59436</v>
          </cell>
          <cell r="O30">
            <v>59482</v>
          </cell>
          <cell r="P30">
            <v>59781</v>
          </cell>
          <cell r="T30">
            <v>27</v>
          </cell>
          <cell r="X30">
            <v>57545</v>
          </cell>
          <cell r="Y30">
            <v>57625</v>
          </cell>
          <cell r="Z30">
            <v>57843</v>
          </cell>
          <cell r="AA30">
            <v>57933</v>
          </cell>
          <cell r="AB30">
            <v>57915</v>
          </cell>
          <cell r="AC30">
            <v>58045</v>
          </cell>
          <cell r="AD30">
            <v>57937</v>
          </cell>
          <cell r="AE30">
            <v>58022</v>
          </cell>
          <cell r="AF30">
            <v>58108</v>
          </cell>
          <cell r="AG30">
            <v>58109</v>
          </cell>
          <cell r="AH30">
            <v>58276</v>
          </cell>
          <cell r="AI30">
            <v>58505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1297540.1694420101</v>
          </cell>
          <cell r="E33">
            <v>167122.30986464114</v>
          </cell>
          <cell r="F33">
            <v>146105.94994644076</v>
          </cell>
          <cell r="G33">
            <v>140532.47638523713</v>
          </cell>
          <cell r="H33">
            <v>127461.68078683416</v>
          </cell>
          <cell r="I33">
            <v>88046.45048203331</v>
          </cell>
          <cell r="J33">
            <v>76976.336546888691</v>
          </cell>
          <cell r="K33">
            <v>67425.747395072554</v>
          </cell>
          <cell r="L33">
            <v>60401.110137306452</v>
          </cell>
          <cell r="M33">
            <v>109034.66744571039</v>
          </cell>
          <cell r="N33">
            <v>74548.836303437536</v>
          </cell>
          <cell r="O33">
            <v>99787.321063394687</v>
          </cell>
          <cell r="P33">
            <v>140097.28308501316</v>
          </cell>
          <cell r="T33">
            <v>30</v>
          </cell>
          <cell r="U33" t="str">
            <v>Residential</v>
          </cell>
          <cell r="X33">
            <v>167417</v>
          </cell>
          <cell r="Y33">
            <v>174048</v>
          </cell>
          <cell r="Z33">
            <v>146144</v>
          </cell>
          <cell r="AA33">
            <v>114803</v>
          </cell>
          <cell r="AB33">
            <v>88279</v>
          </cell>
          <cell r="AC33">
            <v>75258.407829389427</v>
          </cell>
          <cell r="AD33">
            <v>66715.196221637932</v>
          </cell>
          <cell r="AE33">
            <v>55865</v>
          </cell>
          <cell r="AF33">
            <v>65340</v>
          </cell>
          <cell r="AG33">
            <v>77490.408024150354</v>
          </cell>
          <cell r="AH33">
            <v>97440.646606290771</v>
          </cell>
          <cell r="AI33">
            <v>127027.16914986854</v>
          </cell>
        </row>
        <row r="34">
          <cell r="A34">
            <v>31</v>
          </cell>
          <cell r="B34" t="str">
            <v>Commercial Small</v>
          </cell>
          <cell r="D34">
            <v>799924.43275878858</v>
          </cell>
          <cell r="E34">
            <v>88950.238582140417</v>
          </cell>
          <cell r="F34">
            <v>84935.241990456707</v>
          </cell>
          <cell r="G34">
            <v>82035.056967572309</v>
          </cell>
          <cell r="H34">
            <v>75505.01509397215</v>
          </cell>
          <cell r="I34">
            <v>60755.088129321259</v>
          </cell>
          <cell r="J34">
            <v>59528.970688479887</v>
          </cell>
          <cell r="K34">
            <v>54781.283474535005</v>
          </cell>
          <cell r="L34">
            <v>49876.911091635018</v>
          </cell>
          <cell r="M34">
            <v>55839.516992891222</v>
          </cell>
          <cell r="N34">
            <v>53069.334891420782</v>
          </cell>
          <cell r="O34">
            <v>61738.046547862497</v>
          </cell>
          <cell r="P34">
            <v>72909.728308501319</v>
          </cell>
          <cell r="T34">
            <v>31</v>
          </cell>
          <cell r="U34" t="str">
            <v>Commercial Small</v>
          </cell>
          <cell r="X34">
            <v>95873</v>
          </cell>
          <cell r="Y34">
            <v>97447</v>
          </cell>
          <cell r="Z34">
            <v>88811</v>
          </cell>
          <cell r="AA34">
            <v>78598</v>
          </cell>
          <cell r="AB34">
            <v>67259</v>
          </cell>
          <cell r="AC34">
            <v>64146.170026292726</v>
          </cell>
          <cell r="AD34">
            <v>56193.090855974289</v>
          </cell>
          <cell r="AE34">
            <v>53763</v>
          </cell>
          <cell r="AF34">
            <v>58650</v>
          </cell>
          <cell r="AG34">
            <v>59666.861427597622</v>
          </cell>
          <cell r="AH34">
            <v>68286.980231765512</v>
          </cell>
          <cell r="AI34">
            <v>80104.294478527605</v>
          </cell>
        </row>
        <row r="35">
          <cell r="A35">
            <v>32</v>
          </cell>
          <cell r="B35" t="str">
            <v>Commercial Large</v>
          </cell>
          <cell r="D35">
            <v>984501.21725581866</v>
          </cell>
          <cell r="E35">
            <v>111736.29369948388</v>
          </cell>
          <cell r="F35">
            <v>102677.08637647287</v>
          </cell>
          <cell r="G35">
            <v>107003.60307722271</v>
          </cell>
          <cell r="H35">
            <v>95582.52994449313</v>
          </cell>
          <cell r="I35">
            <v>75133.995520498589</v>
          </cell>
          <cell r="J35">
            <v>73197.098062128731</v>
          </cell>
          <cell r="K35">
            <v>67108.287077612229</v>
          </cell>
          <cell r="L35">
            <v>62202.746129126499</v>
          </cell>
          <cell r="M35">
            <v>59962.89804265264</v>
          </cell>
          <cell r="N35">
            <v>61167.68916155419</v>
          </cell>
          <cell r="O35">
            <v>79279.189794527221</v>
          </cell>
          <cell r="P35">
            <v>89449.800370045763</v>
          </cell>
          <cell r="T35">
            <v>32</v>
          </cell>
          <cell r="U35" t="str">
            <v>Commercial Large</v>
          </cell>
          <cell r="X35">
            <v>127701</v>
          </cell>
          <cell r="Y35">
            <v>125865</v>
          </cell>
          <cell r="Z35">
            <v>131837</v>
          </cell>
          <cell r="AA35">
            <v>107596</v>
          </cell>
          <cell r="AB35">
            <v>111008</v>
          </cell>
          <cell r="AC35">
            <v>82157.401889181026</v>
          </cell>
          <cell r="AD35">
            <v>74928.657123381054</v>
          </cell>
          <cell r="AE35">
            <v>70670</v>
          </cell>
          <cell r="AF35">
            <v>76905</v>
          </cell>
          <cell r="AG35">
            <v>76628.20138280261</v>
          </cell>
          <cell r="AH35">
            <v>93808.25786347258</v>
          </cell>
          <cell r="AI35">
            <v>101072.64582724705</v>
          </cell>
        </row>
        <row r="36">
          <cell r="A36">
            <v>33</v>
          </cell>
          <cell r="B36" t="str">
            <v>Outdoor Lights</v>
          </cell>
          <cell r="D36">
            <v>18362.255331580483</v>
          </cell>
          <cell r="E36">
            <v>1646.0220079851981</v>
          </cell>
          <cell r="F36">
            <v>1646.0220079851981</v>
          </cell>
          <cell r="G36">
            <v>1580.5823351835622</v>
          </cell>
          <cell r="H36">
            <v>1589.9308598695102</v>
          </cell>
          <cell r="I36">
            <v>1524.4911870678741</v>
          </cell>
          <cell r="J36">
            <v>1498.1984613886455</v>
          </cell>
          <cell r="K36">
            <v>1498.1984613886455</v>
          </cell>
          <cell r="L36">
            <v>1498.1984613886455</v>
          </cell>
          <cell r="M36">
            <v>1498.1984613886455</v>
          </cell>
          <cell r="N36">
            <v>1460.8043626448534</v>
          </cell>
          <cell r="O36">
            <v>1460.8043626448534</v>
          </cell>
          <cell r="P36">
            <v>1460.8043626448534</v>
          </cell>
          <cell r="T36">
            <v>33</v>
          </cell>
          <cell r="U36" t="str">
            <v>Outdoor Lights</v>
          </cell>
          <cell r="X36">
            <v>1671</v>
          </cell>
          <cell r="Y36">
            <v>1719</v>
          </cell>
          <cell r="Z36">
            <v>1719</v>
          </cell>
          <cell r="AA36">
            <v>1719</v>
          </cell>
          <cell r="AB36">
            <v>1719</v>
          </cell>
          <cell r="AC36">
            <v>1719.3709221930083</v>
          </cell>
          <cell r="AD36">
            <v>1690.4489239458564</v>
          </cell>
          <cell r="AE36">
            <v>1690</v>
          </cell>
          <cell r="AF36">
            <v>1690</v>
          </cell>
          <cell r="AG36">
            <v>1646.0220079851981</v>
          </cell>
          <cell r="AH36">
            <v>1646.0220079851981</v>
          </cell>
          <cell r="AI36">
            <v>1646.0220079851981</v>
          </cell>
        </row>
        <row r="37">
          <cell r="A37">
            <v>34</v>
          </cell>
          <cell r="B37" t="str">
            <v>Interdepartmental/Special Contracts</v>
          </cell>
          <cell r="D37">
            <v>1795464.9654299347</v>
          </cell>
          <cell r="E37">
            <v>156877.31619437141</v>
          </cell>
          <cell r="F37">
            <v>143103.33138572404</v>
          </cell>
          <cell r="G37">
            <v>168188.31823936119</v>
          </cell>
          <cell r="H37">
            <v>158180.79170318431</v>
          </cell>
          <cell r="I37">
            <v>162190.17820625182</v>
          </cell>
          <cell r="J37">
            <v>149222.46080436264</v>
          </cell>
          <cell r="K37">
            <v>112924.40743986756</v>
          </cell>
          <cell r="L37">
            <v>120368.30265848669</v>
          </cell>
          <cell r="M37">
            <v>138424.64212678935</v>
          </cell>
          <cell r="N37">
            <v>160203.00516116468</v>
          </cell>
          <cell r="O37">
            <v>157724.96835134871</v>
          </cell>
          <cell r="P37">
            <v>168057.2431590223</v>
          </cell>
          <cell r="T37">
            <v>34</v>
          </cell>
          <cell r="U37" t="str">
            <v>Interdepartmental/Special Contracts</v>
          </cell>
          <cell r="X37">
            <v>0</v>
          </cell>
          <cell r="Y37">
            <v>0</v>
          </cell>
          <cell r="AC37">
            <v>0</v>
          </cell>
          <cell r="AD37">
            <v>137038.81098451652</v>
          </cell>
          <cell r="AE37">
            <v>170778.94342194955</v>
          </cell>
          <cell r="AF37">
            <v>81533.096698802212</v>
          </cell>
          <cell r="AG37">
            <v>143005.30918297789</v>
          </cell>
          <cell r="AH37">
            <v>150062.16184633362</v>
          </cell>
          <cell r="AI37">
            <v>145625.193300224</v>
          </cell>
        </row>
        <row r="38">
          <cell r="A38">
            <v>35</v>
          </cell>
          <cell r="B38" t="str">
            <v>Unbilled</v>
          </cell>
          <cell r="D38">
            <v>29040.57970591099</v>
          </cell>
          <cell r="E38">
            <v>6370</v>
          </cell>
          <cell r="F38">
            <v>0</v>
          </cell>
          <cell r="G38">
            <v>0</v>
          </cell>
          <cell r="H38">
            <v>-17949</v>
          </cell>
          <cell r="I38">
            <v>0</v>
          </cell>
          <cell r="J38">
            <v>-5036.4202940890054</v>
          </cell>
          <cell r="K38">
            <v>-21569</v>
          </cell>
          <cell r="L38">
            <v>0</v>
          </cell>
          <cell r="M38">
            <v>-24505</v>
          </cell>
          <cell r="N38">
            <v>23574</v>
          </cell>
          <cell r="O38">
            <v>35817</v>
          </cell>
          <cell r="P38">
            <v>32339</v>
          </cell>
          <cell r="T38">
            <v>35</v>
          </cell>
          <cell r="U38" t="str">
            <v>Unbilled</v>
          </cell>
          <cell r="X38">
            <v>-13496.932515337425</v>
          </cell>
          <cell r="Y38">
            <v>54476.579998052395</v>
          </cell>
          <cell r="Z38">
            <v>-4500.925114422047</v>
          </cell>
          <cell r="AA38">
            <v>-46324.861232836694</v>
          </cell>
          <cell r="AB38">
            <v>0</v>
          </cell>
        </row>
        <row r="39">
          <cell r="A39">
            <v>36</v>
          </cell>
          <cell r="B39" t="str">
            <v>Commercial Small Transp</v>
          </cell>
          <cell r="D39">
            <v>480719.54425942153</v>
          </cell>
          <cell r="E39">
            <v>39610.478138085498</v>
          </cell>
          <cell r="F39">
            <v>38615.834063686823</v>
          </cell>
          <cell r="G39">
            <v>40376.278118609407</v>
          </cell>
          <cell r="H39">
            <v>42682.929204401597</v>
          </cell>
          <cell r="I39">
            <v>36585.451358457496</v>
          </cell>
          <cell r="J39">
            <v>38135.35884701529</v>
          </cell>
          <cell r="K39">
            <v>37049.761417859576</v>
          </cell>
          <cell r="L39">
            <v>36316.291751874574</v>
          </cell>
          <cell r="M39">
            <v>36551.855097867367</v>
          </cell>
          <cell r="N39">
            <v>38363.91079949362</v>
          </cell>
          <cell r="O39">
            <v>45156.100886162232</v>
          </cell>
          <cell r="P39">
            <v>51275.294575908076</v>
          </cell>
          <cell r="T39">
            <v>36</v>
          </cell>
          <cell r="U39" t="str">
            <v>Commercial Small Transp</v>
          </cell>
          <cell r="X39">
            <v>35412</v>
          </cell>
          <cell r="Y39">
            <v>33968</v>
          </cell>
          <cell r="Z39">
            <v>33572</v>
          </cell>
          <cell r="AA39">
            <v>30725</v>
          </cell>
          <cell r="AB39">
            <v>27724</v>
          </cell>
          <cell r="AC39">
            <v>28532.957444736585</v>
          </cell>
          <cell r="AD39">
            <v>25955.32865907099</v>
          </cell>
          <cell r="AE39">
            <v>26129</v>
          </cell>
          <cell r="AF39">
            <v>28691</v>
          </cell>
          <cell r="AG39">
            <v>28617.274051765442</v>
          </cell>
          <cell r="AH39">
            <v>31648.748661018599</v>
          </cell>
          <cell r="AI39">
            <v>32428.084526244034</v>
          </cell>
        </row>
        <row r="40">
          <cell r="A40">
            <v>37</v>
          </cell>
          <cell r="B40" t="str">
            <v>Commercial Large Transp</v>
          </cell>
          <cell r="D40">
            <v>3025769.6951991431</v>
          </cell>
          <cell r="E40">
            <v>291922.09562761709</v>
          </cell>
          <cell r="F40">
            <v>268504.91771350667</v>
          </cell>
          <cell r="G40">
            <v>286086.76599474146</v>
          </cell>
          <cell r="H40">
            <v>250198.36400817995</v>
          </cell>
          <cell r="I40">
            <v>243418.93076248904</v>
          </cell>
          <cell r="J40">
            <v>240632.68088421461</v>
          </cell>
          <cell r="K40">
            <v>237388.35329632874</v>
          </cell>
          <cell r="L40">
            <v>229373.64884604147</v>
          </cell>
          <cell r="M40">
            <v>213083.64981984615</v>
          </cell>
          <cell r="N40">
            <v>245338.39711753823</v>
          </cell>
          <cell r="O40">
            <v>244659.1683708248</v>
          </cell>
          <cell r="P40">
            <v>275162.7227578148</v>
          </cell>
          <cell r="T40">
            <v>37</v>
          </cell>
          <cell r="U40" t="str">
            <v>Commercial Large Transp</v>
          </cell>
          <cell r="X40">
            <v>258799</v>
          </cell>
          <cell r="Y40">
            <v>249821</v>
          </cell>
          <cell r="Z40">
            <v>259558</v>
          </cell>
          <cell r="AA40">
            <v>244799</v>
          </cell>
          <cell r="AB40">
            <v>229174</v>
          </cell>
          <cell r="AC40">
            <v>248358.84019865617</v>
          </cell>
          <cell r="AD40">
            <v>242306.58584088032</v>
          </cell>
          <cell r="AE40">
            <v>239021</v>
          </cell>
          <cell r="AF40">
            <v>226147</v>
          </cell>
          <cell r="AG40">
            <v>246655.76005453305</v>
          </cell>
          <cell r="AH40">
            <v>251051.61164670368</v>
          </cell>
          <cell r="AI40">
            <v>273962.6059012562</v>
          </cell>
        </row>
        <row r="41">
          <cell r="A41">
            <v>38</v>
          </cell>
          <cell r="B41" t="str">
            <v>Interruptible Transp</v>
          </cell>
          <cell r="D41">
            <v>862706.88479890942</v>
          </cell>
          <cell r="E41">
            <v>69243.645924627519</v>
          </cell>
          <cell r="F41">
            <v>58727.918979452719</v>
          </cell>
          <cell r="G41">
            <v>65021.715843801736</v>
          </cell>
          <cell r="H41">
            <v>71748.174116272276</v>
          </cell>
          <cell r="I41">
            <v>74609.991235758105</v>
          </cell>
          <cell r="J41">
            <v>72171.876521569779</v>
          </cell>
          <cell r="K41">
            <v>76800.856948096218</v>
          </cell>
          <cell r="L41">
            <v>79127.373648846042</v>
          </cell>
          <cell r="M41">
            <v>62629.272567922875</v>
          </cell>
          <cell r="N41">
            <v>76687.116564417171</v>
          </cell>
          <cell r="O41">
            <v>76549.907488557801</v>
          </cell>
          <cell r="P41">
            <v>79389.034959587108</v>
          </cell>
          <cell r="T41">
            <v>38</v>
          </cell>
          <cell r="U41" t="str">
            <v>Interruptible Transp</v>
          </cell>
          <cell r="X41">
            <v>60843</v>
          </cell>
          <cell r="Y41">
            <v>61828</v>
          </cell>
          <cell r="Z41">
            <v>62295</v>
          </cell>
          <cell r="AA41">
            <v>60962</v>
          </cell>
          <cell r="AB41">
            <v>56201</v>
          </cell>
          <cell r="AC41">
            <v>51562.414061739219</v>
          </cell>
          <cell r="AD41">
            <v>53369.802317655078</v>
          </cell>
          <cell r="AE41">
            <v>53377</v>
          </cell>
          <cell r="AF41">
            <v>56234</v>
          </cell>
          <cell r="AG41">
            <v>58200.311617489533</v>
          </cell>
          <cell r="AH41">
            <v>80125.815561398384</v>
          </cell>
          <cell r="AI41">
            <v>62833.382023566075</v>
          </cell>
        </row>
        <row r="42">
          <cell r="A42">
            <v>39</v>
          </cell>
          <cell r="D42">
            <v>9294029.7441815156</v>
          </cell>
          <cell r="E42">
            <v>933478.40003895212</v>
          </cell>
          <cell r="F42">
            <v>844316.30246372579</v>
          </cell>
          <cell r="G42">
            <v>890824.79696172953</v>
          </cell>
          <cell r="H42">
            <v>805000.41571720713</v>
          </cell>
          <cell r="I42">
            <v>742264.5768818775</v>
          </cell>
          <cell r="J42">
            <v>706326.56052195933</v>
          </cell>
          <cell r="K42">
            <v>633407.89551076049</v>
          </cell>
          <cell r="L42">
            <v>639164.58272470534</v>
          </cell>
          <cell r="M42">
            <v>652519.70055506856</v>
          </cell>
          <cell r="N42">
            <v>734413.09436167101</v>
          </cell>
          <cell r="O42">
            <v>802172.50686532282</v>
          </cell>
          <cell r="P42">
            <v>910140.91157853743</v>
          </cell>
          <cell r="T42">
            <v>39</v>
          </cell>
          <cell r="X42">
            <v>734219.06748466264</v>
          </cell>
          <cell r="Y42">
            <v>799172.57999805245</v>
          </cell>
          <cell r="Z42">
            <v>719435.07488557789</v>
          </cell>
          <cell r="AA42">
            <v>592877.13876716327</v>
          </cell>
          <cell r="AB42">
            <v>581364</v>
          </cell>
          <cell r="AC42">
            <v>551735.5623721882</v>
          </cell>
          <cell r="AD42">
            <v>658197.92092706205</v>
          </cell>
          <cell r="AE42">
            <v>671293.94342194952</v>
          </cell>
          <cell r="AF42">
            <v>595190.0966988022</v>
          </cell>
          <cell r="AG42">
            <v>691910.14774930163</v>
          </cell>
          <cell r="AH42">
            <v>774070.24442496838</v>
          </cell>
          <cell r="AI42">
            <v>824699.39721491875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673</v>
          </cell>
          <cell r="F45">
            <v>671</v>
          </cell>
          <cell r="G45">
            <v>674</v>
          </cell>
          <cell r="H45">
            <v>679</v>
          </cell>
          <cell r="I45">
            <v>672</v>
          </cell>
          <cell r="J45">
            <v>679</v>
          </cell>
          <cell r="K45">
            <v>675</v>
          </cell>
          <cell r="L45">
            <v>673</v>
          </cell>
          <cell r="M45">
            <v>670</v>
          </cell>
          <cell r="N45">
            <v>671</v>
          </cell>
          <cell r="O45">
            <v>670</v>
          </cell>
          <cell r="P45">
            <v>672</v>
          </cell>
          <cell r="T45">
            <v>42</v>
          </cell>
          <cell r="U45" t="str">
            <v>TS1 - RS</v>
          </cell>
          <cell r="X45">
            <v>675</v>
          </cell>
          <cell r="Y45">
            <v>670</v>
          </cell>
          <cell r="Z45">
            <v>677</v>
          </cell>
          <cell r="AA45">
            <v>671</v>
          </cell>
          <cell r="AB45">
            <v>670</v>
          </cell>
          <cell r="AC45">
            <v>672</v>
          </cell>
          <cell r="AD45">
            <v>669</v>
          </cell>
          <cell r="AE45">
            <v>670</v>
          </cell>
          <cell r="AF45">
            <v>674</v>
          </cell>
          <cell r="AG45">
            <v>670</v>
          </cell>
          <cell r="AH45">
            <v>670</v>
          </cell>
          <cell r="AI45">
            <v>675</v>
          </cell>
        </row>
        <row r="46">
          <cell r="A46">
            <v>43</v>
          </cell>
          <cell r="B46" t="str">
            <v>TS1 - Com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43</v>
          </cell>
          <cell r="U46" t="str">
            <v>TS1 - Com</v>
          </cell>
        </row>
        <row r="47">
          <cell r="A47">
            <v>44</v>
          </cell>
          <cell r="B47" t="str">
            <v>TS2</v>
          </cell>
          <cell r="E47">
            <v>24</v>
          </cell>
          <cell r="F47">
            <v>24</v>
          </cell>
          <cell r="G47">
            <v>24</v>
          </cell>
          <cell r="H47">
            <v>24</v>
          </cell>
          <cell r="I47">
            <v>23</v>
          </cell>
          <cell r="J47">
            <v>23</v>
          </cell>
          <cell r="K47">
            <v>24</v>
          </cell>
          <cell r="L47">
            <v>24</v>
          </cell>
          <cell r="M47">
            <v>23</v>
          </cell>
          <cell r="N47">
            <v>23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25</v>
          </cell>
          <cell r="Z47">
            <v>25</v>
          </cell>
          <cell r="AA47">
            <v>25</v>
          </cell>
          <cell r="AB47">
            <v>25</v>
          </cell>
          <cell r="AC47">
            <v>25</v>
          </cell>
          <cell r="AD47">
            <v>24</v>
          </cell>
          <cell r="AE47">
            <v>24</v>
          </cell>
          <cell r="AF47">
            <v>24</v>
          </cell>
          <cell r="AG47">
            <v>24</v>
          </cell>
          <cell r="AH47">
            <v>24</v>
          </cell>
          <cell r="AI47">
            <v>25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1</v>
          </cell>
          <cell r="K49">
            <v>1</v>
          </cell>
          <cell r="L49">
            <v>1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700</v>
          </cell>
          <cell r="F50">
            <v>698</v>
          </cell>
          <cell r="G50">
            <v>701</v>
          </cell>
          <cell r="H50">
            <v>706</v>
          </cell>
          <cell r="I50">
            <v>698</v>
          </cell>
          <cell r="J50">
            <v>704</v>
          </cell>
          <cell r="K50">
            <v>701</v>
          </cell>
          <cell r="L50">
            <v>699</v>
          </cell>
          <cell r="M50">
            <v>696</v>
          </cell>
          <cell r="N50">
            <v>697</v>
          </cell>
          <cell r="O50">
            <v>696</v>
          </cell>
          <cell r="P50">
            <v>698</v>
          </cell>
          <cell r="T50">
            <v>47</v>
          </cell>
          <cell r="X50">
            <v>702</v>
          </cell>
          <cell r="Y50">
            <v>698</v>
          </cell>
          <cell r="Z50">
            <v>705</v>
          </cell>
          <cell r="AA50">
            <v>699</v>
          </cell>
          <cell r="AB50">
            <v>698</v>
          </cell>
          <cell r="AC50">
            <v>700</v>
          </cell>
          <cell r="AD50">
            <v>696</v>
          </cell>
          <cell r="AE50">
            <v>697</v>
          </cell>
          <cell r="AF50">
            <v>701</v>
          </cell>
          <cell r="AG50">
            <v>697</v>
          </cell>
          <cell r="AH50">
            <v>697</v>
          </cell>
          <cell r="AI50">
            <v>703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10574.057843996496</v>
          </cell>
          <cell r="E53">
            <v>1117.8303632291363</v>
          </cell>
          <cell r="F53">
            <v>372.2855195247833</v>
          </cell>
          <cell r="G53">
            <v>999.31833674164966</v>
          </cell>
          <cell r="H53">
            <v>923.16681273736492</v>
          </cell>
          <cell r="I53">
            <v>834.5505891518161</v>
          </cell>
          <cell r="J53">
            <v>948.87525562372184</v>
          </cell>
          <cell r="K53">
            <v>808.93952673093781</v>
          </cell>
          <cell r="L53">
            <v>842.53578732106337</v>
          </cell>
          <cell r="M53">
            <v>833.38202356607269</v>
          </cell>
          <cell r="N53">
            <v>892.68672704255528</v>
          </cell>
          <cell r="O53">
            <v>960.65829194663547</v>
          </cell>
          <cell r="P53">
            <v>1039.8286103807577</v>
          </cell>
          <cell r="T53">
            <v>50</v>
          </cell>
          <cell r="U53" t="str">
            <v>TS1 - RS</v>
          </cell>
          <cell r="X53">
            <v>1123</v>
          </cell>
          <cell r="Y53">
            <v>1008</v>
          </cell>
          <cell r="Z53">
            <v>1056</v>
          </cell>
          <cell r="AA53">
            <v>810</v>
          </cell>
          <cell r="AB53">
            <v>680</v>
          </cell>
          <cell r="AC53">
            <v>1145.7220761515241</v>
          </cell>
          <cell r="AD53">
            <v>798</v>
          </cell>
          <cell r="AE53">
            <v>835</v>
          </cell>
          <cell r="AF53">
            <v>848.76813711169541</v>
          </cell>
          <cell r="AG53">
            <v>851.0078878177037</v>
          </cell>
          <cell r="AH53">
            <v>846.82052780212291</v>
          </cell>
          <cell r="AI53">
            <v>1013.4385042360502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</row>
        <row r="55">
          <cell r="A55">
            <v>52</v>
          </cell>
          <cell r="B55" t="str">
            <v>TS2</v>
          </cell>
          <cell r="D55">
            <v>7543.4803778362057</v>
          </cell>
          <cell r="E55">
            <v>761.80738143928329</v>
          </cell>
          <cell r="F55">
            <v>39.24432758788587</v>
          </cell>
          <cell r="G55">
            <v>705.42409192715945</v>
          </cell>
          <cell r="H55">
            <v>675.2361476287856</v>
          </cell>
          <cell r="I55">
            <v>647.87223682929209</v>
          </cell>
          <cell r="J55">
            <v>687.60346674457105</v>
          </cell>
          <cell r="K55">
            <v>576.10283377154542</v>
          </cell>
          <cell r="L55">
            <v>673.58067971564901</v>
          </cell>
          <cell r="M55">
            <v>700.74982958418536</v>
          </cell>
          <cell r="N55">
            <v>710.68263706300513</v>
          </cell>
          <cell r="O55">
            <v>675.91781088713606</v>
          </cell>
          <cell r="P55">
            <v>689.25893465770764</v>
          </cell>
          <cell r="T55">
            <v>52</v>
          </cell>
          <cell r="U55" t="str">
            <v>TS2</v>
          </cell>
          <cell r="X55">
            <v>473</v>
          </cell>
          <cell r="Y55">
            <v>670</v>
          </cell>
          <cell r="Z55">
            <v>342</v>
          </cell>
          <cell r="AA55">
            <v>1078</v>
          </cell>
          <cell r="AB55">
            <v>678</v>
          </cell>
          <cell r="AC55">
            <v>761.21530820917326</v>
          </cell>
          <cell r="AD55">
            <v>630</v>
          </cell>
          <cell r="AE55">
            <v>684</v>
          </cell>
          <cell r="AF55">
            <v>653.81244522348811</v>
          </cell>
          <cell r="AG55">
            <v>678.35232252410162</v>
          </cell>
          <cell r="AH55">
            <v>542.31181225046259</v>
          </cell>
          <cell r="AI55">
            <v>106.33946830265849</v>
          </cell>
        </row>
        <row r="56">
          <cell r="A56">
            <v>53</v>
          </cell>
          <cell r="B56" t="str">
            <v>TS3</v>
          </cell>
          <cell r="D56">
            <v>218.22962313759857</v>
          </cell>
          <cell r="E56">
            <v>29.214139643587497</v>
          </cell>
          <cell r="F56">
            <v>1.3633265167007498</v>
          </cell>
          <cell r="G56">
            <v>17.723244717109747</v>
          </cell>
          <cell r="H56">
            <v>11.685655857434998</v>
          </cell>
          <cell r="I56">
            <v>23.176550783912745</v>
          </cell>
          <cell r="J56">
            <v>17.041581458759374</v>
          </cell>
          <cell r="K56">
            <v>15.191352614665497</v>
          </cell>
          <cell r="L56">
            <v>22.105365663647873</v>
          </cell>
          <cell r="M56">
            <v>19.670854026682246</v>
          </cell>
          <cell r="N56">
            <v>15.386113545622749</v>
          </cell>
          <cell r="O56">
            <v>6.3297302561106239</v>
          </cell>
          <cell r="P56">
            <v>39.341708053364492</v>
          </cell>
          <cell r="T56">
            <v>53</v>
          </cell>
          <cell r="U56" t="str">
            <v>TS3</v>
          </cell>
          <cell r="X56">
            <v>16</v>
          </cell>
          <cell r="Y56">
            <v>9</v>
          </cell>
          <cell r="Z56">
            <v>24</v>
          </cell>
          <cell r="AA56">
            <v>14</v>
          </cell>
          <cell r="AB56">
            <v>14</v>
          </cell>
          <cell r="AC56">
            <v>15.818482812347842</v>
          </cell>
          <cell r="AD56">
            <v>23</v>
          </cell>
          <cell r="AE56">
            <v>17</v>
          </cell>
          <cell r="AF56">
            <v>11.296133995520499</v>
          </cell>
          <cell r="AG56">
            <v>25.416301489921121</v>
          </cell>
          <cell r="AH56">
            <v>0.77904372382899989</v>
          </cell>
          <cell r="AI56">
            <v>7.7904372382899991</v>
          </cell>
        </row>
        <row r="57">
          <cell r="A57">
            <v>54</v>
          </cell>
          <cell r="B57" t="str">
            <v>TS4</v>
          </cell>
          <cell r="D57">
            <v>55553.218424384067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1420.0019476093096</v>
          </cell>
          <cell r="J57">
            <v>0</v>
          </cell>
          <cell r="K57">
            <v>24665.595481546403</v>
          </cell>
          <cell r="L57">
            <v>15413.380075956762</v>
          </cell>
          <cell r="M57">
            <v>5939.4293504722955</v>
          </cell>
          <cell r="N57">
            <v>8114.5194274028627</v>
          </cell>
          <cell r="O57">
            <v>0</v>
          </cell>
          <cell r="P57">
            <v>0.29214139643587494</v>
          </cell>
          <cell r="T57">
            <v>54</v>
          </cell>
          <cell r="U57" t="str">
            <v>TS4</v>
          </cell>
          <cell r="X57">
            <v>0</v>
          </cell>
          <cell r="Y57">
            <v>1704</v>
          </cell>
          <cell r="Z57">
            <v>38465</v>
          </cell>
          <cell r="AA57">
            <v>12363</v>
          </cell>
          <cell r="AB57">
            <v>4954</v>
          </cell>
          <cell r="AC57">
            <v>11203.086960755672</v>
          </cell>
          <cell r="AD57">
            <v>21467</v>
          </cell>
          <cell r="AE57">
            <v>13178</v>
          </cell>
          <cell r="AF57">
            <v>16329.632875645146</v>
          </cell>
          <cell r="AG57">
            <v>6520.4985879832502</v>
          </cell>
          <cell r="AH57">
            <v>3958.1263998441914</v>
          </cell>
          <cell r="AI57">
            <v>1041.7762196903302</v>
          </cell>
        </row>
        <row r="58">
          <cell r="A58">
            <v>55</v>
          </cell>
          <cell r="D58">
            <v>73888.986269354369</v>
          </cell>
          <cell r="E58">
            <v>1908.8518843120071</v>
          </cell>
          <cell r="F58">
            <v>412.89317362936993</v>
          </cell>
          <cell r="G58">
            <v>1722.465673385919</v>
          </cell>
          <cell r="H58">
            <v>1610.0886162235856</v>
          </cell>
          <cell r="I58">
            <v>2925.6013243743305</v>
          </cell>
          <cell r="J58">
            <v>1653.5203038270522</v>
          </cell>
          <cell r="K58">
            <v>26065.829194663551</v>
          </cell>
          <cell r="L58">
            <v>16951.601908657121</v>
          </cell>
          <cell r="M58">
            <v>7493.2320576492357</v>
          </cell>
          <cell r="N58">
            <v>9733.274905054046</v>
          </cell>
          <cell r="O58">
            <v>1642.9058330898822</v>
          </cell>
          <cell r="P58">
            <v>1768.7213944882658</v>
          </cell>
          <cell r="T58">
            <v>55</v>
          </cell>
          <cell r="X58">
            <v>1612</v>
          </cell>
          <cell r="Y58">
            <v>3391</v>
          </cell>
          <cell r="Z58">
            <v>39887</v>
          </cell>
          <cell r="AA58">
            <v>14265</v>
          </cell>
          <cell r="AB58">
            <v>6326</v>
          </cell>
          <cell r="AC58">
            <v>13125.842827928718</v>
          </cell>
          <cell r="AD58">
            <v>22918</v>
          </cell>
          <cell r="AE58">
            <v>14714</v>
          </cell>
          <cell r="AF58">
            <v>17843.50959197585</v>
          </cell>
          <cell r="AG58">
            <v>8075.2750998149768</v>
          </cell>
          <cell r="AH58">
            <v>5348.0377836206062</v>
          </cell>
          <cell r="AI58">
            <v>2169.344629467329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612</v>
          </cell>
          <cell r="F62">
            <v>613</v>
          </cell>
          <cell r="G62">
            <v>616</v>
          </cell>
          <cell r="H62">
            <v>608</v>
          </cell>
          <cell r="I62">
            <v>592</v>
          </cell>
          <cell r="J62">
            <v>583</v>
          </cell>
          <cell r="K62">
            <v>575</v>
          </cell>
          <cell r="L62">
            <v>571</v>
          </cell>
          <cell r="M62">
            <v>571</v>
          </cell>
          <cell r="N62">
            <v>566</v>
          </cell>
          <cell r="O62">
            <v>574</v>
          </cell>
          <cell r="P62">
            <v>576</v>
          </cell>
          <cell r="T62">
            <v>59</v>
          </cell>
          <cell r="U62" t="str">
            <v>Residential</v>
          </cell>
          <cell r="X62">
            <v>628</v>
          </cell>
          <cell r="Y62">
            <v>622</v>
          </cell>
          <cell r="Z62">
            <v>621</v>
          </cell>
          <cell r="AA62">
            <v>620</v>
          </cell>
          <cell r="AB62">
            <v>614</v>
          </cell>
          <cell r="AC62">
            <v>602</v>
          </cell>
          <cell r="AD62">
            <v>600</v>
          </cell>
          <cell r="AE62">
            <v>603</v>
          </cell>
          <cell r="AF62">
            <v>599</v>
          </cell>
          <cell r="AG62">
            <v>595</v>
          </cell>
          <cell r="AH62">
            <v>600</v>
          </cell>
          <cell r="AI62">
            <v>603</v>
          </cell>
        </row>
        <row r="63">
          <cell r="A63">
            <v>60</v>
          </cell>
          <cell r="B63" t="str">
            <v>Commercial</v>
          </cell>
          <cell r="T63">
            <v>60</v>
          </cell>
          <cell r="U63" t="str">
            <v>Commercial</v>
          </cell>
          <cell r="X63">
            <v>19</v>
          </cell>
          <cell r="Y63">
            <v>19</v>
          </cell>
          <cell r="Z63">
            <v>19</v>
          </cell>
          <cell r="AA63">
            <v>19</v>
          </cell>
          <cell r="AB63">
            <v>19</v>
          </cell>
          <cell r="AC63">
            <v>19</v>
          </cell>
          <cell r="AD63">
            <v>19</v>
          </cell>
          <cell r="AE63">
            <v>19</v>
          </cell>
          <cell r="AF63">
            <v>18</v>
          </cell>
          <cell r="AG63">
            <v>18</v>
          </cell>
          <cell r="AH63">
            <v>19</v>
          </cell>
          <cell r="AI63">
            <v>19</v>
          </cell>
        </row>
        <row r="64">
          <cell r="A64">
            <v>61</v>
          </cell>
          <cell r="B64" t="str">
            <v>Commercial Small Transp</v>
          </cell>
          <cell r="E64">
            <v>19</v>
          </cell>
          <cell r="F64">
            <v>18</v>
          </cell>
          <cell r="G64">
            <v>18</v>
          </cell>
          <cell r="H64">
            <v>19</v>
          </cell>
          <cell r="I64">
            <v>20</v>
          </cell>
          <cell r="J64">
            <v>19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19</v>
          </cell>
          <cell r="T64">
            <v>61</v>
          </cell>
          <cell r="U64" t="str">
            <v>Special Contract</v>
          </cell>
          <cell r="X64">
            <v>7</v>
          </cell>
          <cell r="Y64">
            <v>7</v>
          </cell>
          <cell r="Z64">
            <v>7</v>
          </cell>
          <cell r="AA64">
            <v>7</v>
          </cell>
          <cell r="AB64">
            <v>7</v>
          </cell>
          <cell r="AC64">
            <v>7</v>
          </cell>
          <cell r="AD64">
            <v>7</v>
          </cell>
          <cell r="AE64">
            <v>7</v>
          </cell>
          <cell r="AF64">
            <v>7</v>
          </cell>
          <cell r="AG64">
            <v>7</v>
          </cell>
          <cell r="AH64">
            <v>7</v>
          </cell>
          <cell r="AI64">
            <v>7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E66">
            <v>638</v>
          </cell>
          <cell r="F66">
            <v>638</v>
          </cell>
          <cell r="G66">
            <v>641</v>
          </cell>
          <cell r="H66">
            <v>634</v>
          </cell>
          <cell r="I66">
            <v>619</v>
          </cell>
          <cell r="J66">
            <v>609</v>
          </cell>
          <cell r="K66">
            <v>602</v>
          </cell>
          <cell r="L66">
            <v>598</v>
          </cell>
          <cell r="M66">
            <v>598</v>
          </cell>
          <cell r="N66">
            <v>593</v>
          </cell>
          <cell r="O66">
            <v>601</v>
          </cell>
          <cell r="P66">
            <v>602</v>
          </cell>
          <cell r="T66">
            <v>63</v>
          </cell>
          <cell r="X66">
            <v>654</v>
          </cell>
          <cell r="Y66">
            <v>648</v>
          </cell>
          <cell r="Z66">
            <v>647</v>
          </cell>
          <cell r="AA66">
            <v>646</v>
          </cell>
          <cell r="AB66">
            <v>640</v>
          </cell>
          <cell r="AC66">
            <v>628</v>
          </cell>
          <cell r="AD66">
            <v>626</v>
          </cell>
          <cell r="AE66">
            <v>629</v>
          </cell>
          <cell r="AF66">
            <v>624</v>
          </cell>
          <cell r="AG66">
            <v>620</v>
          </cell>
          <cell r="AH66">
            <v>626</v>
          </cell>
          <cell r="AI66">
            <v>629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6925.1144220469378</v>
          </cell>
          <cell r="E69">
            <v>774.9537442788976</v>
          </cell>
          <cell r="F69">
            <v>822.18327003603076</v>
          </cell>
          <cell r="G69">
            <v>630.34375304313949</v>
          </cell>
          <cell r="H69">
            <v>587.39896776706587</v>
          </cell>
          <cell r="I69">
            <v>439.38066023955594</v>
          </cell>
          <cell r="J69">
            <v>470.25026779628007</v>
          </cell>
          <cell r="K69">
            <v>402.37608335767845</v>
          </cell>
          <cell r="L69">
            <v>404.32369266725095</v>
          </cell>
          <cell r="M69">
            <v>492.35563345992796</v>
          </cell>
          <cell r="N69">
            <v>494.49800370045767</v>
          </cell>
          <cell r="O69">
            <v>548.54416204109452</v>
          </cell>
          <cell r="P69">
            <v>858.50618365955791</v>
          </cell>
          <cell r="T69">
            <v>66</v>
          </cell>
          <cell r="U69" t="str">
            <v>Residential</v>
          </cell>
          <cell r="X69">
            <v>842</v>
          </cell>
          <cell r="Y69">
            <v>1136</v>
          </cell>
          <cell r="Z69">
            <v>859</v>
          </cell>
          <cell r="AA69">
            <v>603</v>
          </cell>
          <cell r="AB69">
            <v>504</v>
          </cell>
          <cell r="AC69">
            <v>489.85198169247246</v>
          </cell>
          <cell r="AD69">
            <v>394</v>
          </cell>
          <cell r="AE69">
            <v>427</v>
          </cell>
          <cell r="AF69">
            <v>451.55321842438406</v>
          </cell>
          <cell r="AG69">
            <v>444.44444444444446</v>
          </cell>
          <cell r="AH69">
            <v>741.64962508520784</v>
          </cell>
          <cell r="AI69">
            <v>882.36439770182096</v>
          </cell>
        </row>
        <row r="70">
          <cell r="A70">
            <v>67</v>
          </cell>
          <cell r="B70" t="str">
            <v>Commercial</v>
          </cell>
          <cell r="D70">
            <v>3791.3136624793069</v>
          </cell>
          <cell r="E70">
            <v>571.0390495666569</v>
          </cell>
          <cell r="F70">
            <v>612.42574739507256</v>
          </cell>
          <cell r="G70">
            <v>505.98889862693545</v>
          </cell>
          <cell r="H70">
            <v>455.64319797448633</v>
          </cell>
          <cell r="I70">
            <v>318.53150258058236</v>
          </cell>
          <cell r="J70">
            <v>168.46820527802123</v>
          </cell>
          <cell r="K70">
            <v>181.41980718667836</v>
          </cell>
          <cell r="L70">
            <v>127.17888791508423</v>
          </cell>
          <cell r="M70">
            <v>140.03310935826272</v>
          </cell>
          <cell r="N70">
            <v>114.81156879929885</v>
          </cell>
          <cell r="O70">
            <v>299.83445320868634</v>
          </cell>
          <cell r="P70">
            <v>295.93923458954134</v>
          </cell>
          <cell r="T70">
            <v>67</v>
          </cell>
          <cell r="U70" t="str">
            <v>Commercial</v>
          </cell>
          <cell r="X70">
            <v>6</v>
          </cell>
          <cell r="Y70">
            <v>9</v>
          </cell>
          <cell r="Z70">
            <v>3</v>
          </cell>
          <cell r="AA70">
            <v>3</v>
          </cell>
          <cell r="AB70">
            <v>1</v>
          </cell>
          <cell r="AC70">
            <v>0.20255136819553998</v>
          </cell>
          <cell r="AD70">
            <v>1</v>
          </cell>
          <cell r="AE70">
            <v>107</v>
          </cell>
          <cell r="AF70">
            <v>130.29506281040022</v>
          </cell>
          <cell r="AG70">
            <v>223.6829292044016</v>
          </cell>
          <cell r="AH70">
            <v>392.83279774077317</v>
          </cell>
          <cell r="AI70">
            <v>343.65566267406757</v>
          </cell>
        </row>
        <row r="71">
          <cell r="A71">
            <v>68</v>
          </cell>
          <cell r="B71" t="str">
            <v>Commercial Small Transp</v>
          </cell>
          <cell r="D71">
            <v>2120.2648748661018</v>
          </cell>
          <cell r="E71">
            <v>175.96650111987535</v>
          </cell>
          <cell r="F71">
            <v>210.34180543382996</v>
          </cell>
          <cell r="G71">
            <v>204.30421657415522</v>
          </cell>
          <cell r="H71">
            <v>193.98188723342096</v>
          </cell>
          <cell r="I71">
            <v>182.00408997955009</v>
          </cell>
          <cell r="J71">
            <v>188.62596163209659</v>
          </cell>
          <cell r="K71">
            <v>148.99211218229624</v>
          </cell>
          <cell r="L71">
            <v>161.65157269451748</v>
          </cell>
          <cell r="M71">
            <v>155.90612523127859</v>
          </cell>
          <cell r="N71">
            <v>146.9471224072451</v>
          </cell>
          <cell r="O71">
            <v>220.85889570552146</v>
          </cell>
          <cell r="P71">
            <v>130.68458467231474</v>
          </cell>
          <cell r="T71">
            <v>68</v>
          </cell>
          <cell r="U71" t="str">
            <v>Special Contract</v>
          </cell>
          <cell r="X71">
            <v>944</v>
          </cell>
          <cell r="Y71">
            <v>947</v>
          </cell>
          <cell r="Z71">
            <v>955</v>
          </cell>
          <cell r="AA71">
            <v>707</v>
          </cell>
          <cell r="AB71">
            <v>648</v>
          </cell>
          <cell r="AC71">
            <v>461.54737559645537</v>
          </cell>
          <cell r="AD71">
            <v>248</v>
          </cell>
          <cell r="AE71">
            <v>130</v>
          </cell>
          <cell r="AF71">
            <v>207.12825007303536</v>
          </cell>
          <cell r="AG71">
            <v>192.03427792384846</v>
          </cell>
          <cell r="AH71">
            <v>189.01548349401111</v>
          </cell>
          <cell r="AI71">
            <v>126.20508326029798</v>
          </cell>
        </row>
        <row r="72">
          <cell r="A72">
            <v>69</v>
          </cell>
          <cell r="D72">
            <v>12836.692959392345</v>
          </cell>
          <cell r="E72">
            <v>1521.9592949654298</v>
          </cell>
          <cell r="F72">
            <v>1644.9508228649333</v>
          </cell>
          <cell r="G72">
            <v>1340.6368682442301</v>
          </cell>
          <cell r="H72">
            <v>1237.0240529749733</v>
          </cell>
          <cell r="I72">
            <v>939.91625279968844</v>
          </cell>
          <cell r="J72">
            <v>827.34443470639792</v>
          </cell>
          <cell r="K72">
            <v>732.78800272665308</v>
          </cell>
          <cell r="L72">
            <v>693.15415327685264</v>
          </cell>
          <cell r="M72">
            <v>788.29486804946919</v>
          </cell>
          <cell r="N72">
            <v>756.2566949070017</v>
          </cell>
          <cell r="O72">
            <v>1069.2375109553022</v>
          </cell>
          <cell r="P72">
            <v>1285.130002921414</v>
          </cell>
          <cell r="T72">
            <v>69</v>
          </cell>
          <cell r="X72">
            <v>1792</v>
          </cell>
          <cell r="Y72">
            <v>2092</v>
          </cell>
          <cell r="Z72">
            <v>1817</v>
          </cell>
          <cell r="AA72">
            <v>1313</v>
          </cell>
          <cell r="AB72">
            <v>1153</v>
          </cell>
          <cell r="AC72">
            <v>951.60190865712343</v>
          </cell>
          <cell r="AD72">
            <v>643</v>
          </cell>
          <cell r="AE72">
            <v>664</v>
          </cell>
          <cell r="AF72">
            <v>788.97653130781964</v>
          </cell>
          <cell r="AG72">
            <v>860.1616515726945</v>
          </cell>
          <cell r="AH72">
            <v>1323.4979063199921</v>
          </cell>
          <cell r="AI72">
            <v>1352.2251436361864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720398</v>
          </cell>
          <cell r="E76">
            <v>59567</v>
          </cell>
          <cell r="F76">
            <v>59710</v>
          </cell>
          <cell r="G76">
            <v>59921</v>
          </cell>
          <cell r="H76">
            <v>60111</v>
          </cell>
          <cell r="I76">
            <v>60057</v>
          </cell>
          <cell r="J76">
            <v>60052</v>
          </cell>
          <cell r="K76">
            <v>60064</v>
          </cell>
          <cell r="L76">
            <v>59939</v>
          </cell>
          <cell r="M76">
            <v>59993</v>
          </cell>
          <cell r="N76">
            <v>60079</v>
          </cell>
          <cell r="O76">
            <v>60353</v>
          </cell>
          <cell r="P76">
            <v>60552</v>
          </cell>
          <cell r="T76">
            <v>73</v>
          </cell>
          <cell r="U76" t="str">
            <v xml:space="preserve">Customers </v>
          </cell>
          <cell r="X76">
            <v>59166</v>
          </cell>
          <cell r="Y76">
            <v>59334</v>
          </cell>
          <cell r="Z76">
            <v>59639</v>
          </cell>
          <cell r="AA76">
            <v>59848</v>
          </cell>
          <cell r="AB76">
            <v>59662</v>
          </cell>
          <cell r="AC76">
            <v>59783</v>
          </cell>
          <cell r="AD76">
            <v>59748</v>
          </cell>
          <cell r="AE76">
            <v>59653</v>
          </cell>
          <cell r="AF76">
            <v>59729</v>
          </cell>
          <cell r="AG76">
            <v>59821</v>
          </cell>
          <cell r="AH76">
            <v>60029</v>
          </cell>
          <cell r="AI76">
            <v>60355</v>
          </cell>
        </row>
        <row r="77">
          <cell r="A77">
            <v>74</v>
          </cell>
          <cell r="B77" t="str">
            <v>Volume (mcfs)</v>
          </cell>
          <cell r="D77">
            <v>7270446.5868146848</v>
          </cell>
          <cell r="E77">
            <v>652762.68380562856</v>
          </cell>
          <cell r="F77">
            <v>681727.52945759078</v>
          </cell>
          <cell r="G77">
            <v>619825.39682539681</v>
          </cell>
          <cell r="H77">
            <v>675862.10926088225</v>
          </cell>
          <cell r="I77">
            <v>599567.92287467129</v>
          </cell>
          <cell r="J77">
            <v>564067.48466257669</v>
          </cell>
          <cell r="K77">
            <v>537727.23731619434</v>
          </cell>
          <cell r="L77">
            <v>534283.18239361187</v>
          </cell>
          <cell r="M77">
            <v>523643.87963774469</v>
          </cell>
          <cell r="N77">
            <v>552590.02824033494</v>
          </cell>
          <cell r="O77">
            <v>613500.63297302555</v>
          </cell>
          <cell r="P77">
            <v>714888.49936702696</v>
          </cell>
          <cell r="T77">
            <v>74</v>
          </cell>
          <cell r="U77" t="str">
            <v>Volume (mcfs)</v>
          </cell>
          <cell r="X77">
            <v>910995</v>
          </cell>
          <cell r="Y77">
            <v>830694</v>
          </cell>
          <cell r="Z77">
            <v>756332</v>
          </cell>
          <cell r="AA77">
            <v>749787</v>
          </cell>
          <cell r="AB77">
            <v>649554</v>
          </cell>
          <cell r="AC77">
            <v>559046</v>
          </cell>
          <cell r="AD77">
            <v>567097</v>
          </cell>
          <cell r="AE77">
            <v>535585</v>
          </cell>
          <cell r="AF77">
            <v>545197.78</v>
          </cell>
          <cell r="AG77">
            <v>588866.56000000006</v>
          </cell>
          <cell r="AH77">
            <v>682880.23</v>
          </cell>
          <cell r="AI77">
            <v>787520.06</v>
          </cell>
        </row>
        <row r="78">
          <cell r="A78">
            <v>75</v>
          </cell>
          <cell r="B78" t="str">
            <v>Volume (dts) (mcfs*1.0269)</v>
          </cell>
          <cell r="D78">
            <v>7466022</v>
          </cell>
          <cell r="E78">
            <v>670322</v>
          </cell>
          <cell r="F78">
            <v>700066</v>
          </cell>
          <cell r="G78">
            <v>636499</v>
          </cell>
          <cell r="H78">
            <v>694043</v>
          </cell>
          <cell r="I78">
            <v>615696</v>
          </cell>
          <cell r="J78">
            <v>579241</v>
          </cell>
          <cell r="K78">
            <v>552192</v>
          </cell>
          <cell r="L78">
            <v>548655</v>
          </cell>
          <cell r="M78">
            <v>537730</v>
          </cell>
          <cell r="N78">
            <v>567455</v>
          </cell>
          <cell r="O78">
            <v>630004</v>
          </cell>
          <cell r="P78">
            <v>734119</v>
          </cell>
          <cell r="T78">
            <v>75</v>
          </cell>
          <cell r="U78" t="str">
            <v>Volume (dts) (mcfs*1.0269)</v>
          </cell>
          <cell r="X78">
            <v>935501</v>
          </cell>
          <cell r="Y78">
            <v>853040</v>
          </cell>
          <cell r="Z78">
            <v>776677</v>
          </cell>
          <cell r="AA78">
            <v>769956</v>
          </cell>
          <cell r="AB78">
            <v>667027</v>
          </cell>
          <cell r="AC78">
            <v>574084</v>
          </cell>
          <cell r="AD78">
            <v>582352</v>
          </cell>
          <cell r="AE78">
            <v>549992</v>
          </cell>
          <cell r="AF78">
            <v>559864</v>
          </cell>
          <cell r="AG78">
            <v>604707</v>
          </cell>
          <cell r="AH78">
            <v>701250</v>
          </cell>
          <cell r="AI78">
            <v>808704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- 2017 -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- 2016 - actual in Dts (mcfs*1.0269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1350413</v>
          </cell>
          <cell r="E81">
            <v>173562</v>
          </cell>
          <cell r="F81">
            <v>151263</v>
          </cell>
          <cell r="G81">
            <v>145986</v>
          </cell>
          <cell r="H81">
            <v>132442</v>
          </cell>
          <cell r="I81">
            <v>91723</v>
          </cell>
          <cell r="J81">
            <v>80504</v>
          </cell>
          <cell r="K81">
            <v>70483</v>
          </cell>
          <cell r="L81">
            <v>63306</v>
          </cell>
          <cell r="M81">
            <v>113329</v>
          </cell>
          <cell r="N81">
            <v>77979</v>
          </cell>
          <cell r="O81">
            <v>104021</v>
          </cell>
          <cell r="P81">
            <v>145815</v>
          </cell>
          <cell r="T81">
            <v>78</v>
          </cell>
          <cell r="U81" t="str">
            <v>Residential</v>
          </cell>
          <cell r="W81">
            <v>1308906</v>
          </cell>
          <cell r="X81">
            <v>173938</v>
          </cell>
          <cell r="Y81">
            <v>180932</v>
          </cell>
          <cell r="Z81">
            <v>152042</v>
          </cell>
          <cell r="AA81">
            <v>119342</v>
          </cell>
          <cell r="AB81">
            <v>91870</v>
          </cell>
          <cell r="AC81">
            <v>78962</v>
          </cell>
          <cell r="AD81">
            <v>69734</v>
          </cell>
          <cell r="AE81">
            <v>58664</v>
          </cell>
          <cell r="AF81">
            <v>68433</v>
          </cell>
          <cell r="AG81">
            <v>80905</v>
          </cell>
          <cell r="AH81">
            <v>101693</v>
          </cell>
          <cell r="AI81">
            <v>132391</v>
          </cell>
        </row>
        <row r="82">
          <cell r="A82">
            <v>79</v>
          </cell>
          <cell r="B82" t="str">
            <v>Commercial</v>
          </cell>
          <cell r="D82">
            <v>1863147</v>
          </cell>
          <cell r="E82">
            <v>209174</v>
          </cell>
          <cell r="F82">
            <v>195020</v>
          </cell>
          <cell r="G82">
            <v>197009</v>
          </cell>
          <cell r="H82">
            <v>178496</v>
          </cell>
          <cell r="I82">
            <v>142126</v>
          </cell>
          <cell r="J82">
            <v>138732</v>
          </cell>
          <cell r="K82">
            <v>127500</v>
          </cell>
          <cell r="L82">
            <v>117478</v>
          </cell>
          <cell r="M82">
            <v>121340</v>
          </cell>
          <cell r="N82">
            <v>119674</v>
          </cell>
          <cell r="O82">
            <v>147319</v>
          </cell>
          <cell r="P82">
            <v>169279</v>
          </cell>
          <cell r="T82">
            <v>79</v>
          </cell>
          <cell r="U82" t="str">
            <v>Commercial</v>
          </cell>
          <cell r="W82">
            <v>2133842</v>
          </cell>
          <cell r="X82">
            <v>231812</v>
          </cell>
          <cell r="Y82">
            <v>231791</v>
          </cell>
          <cell r="Z82">
            <v>228728</v>
          </cell>
          <cell r="AA82">
            <v>194092</v>
          </cell>
          <cell r="AB82">
            <v>185539</v>
          </cell>
          <cell r="AC82">
            <v>152803</v>
          </cell>
          <cell r="AD82">
            <v>137056</v>
          </cell>
          <cell r="AE82">
            <v>130345</v>
          </cell>
          <cell r="AF82">
            <v>141754</v>
          </cell>
          <cell r="AG82">
            <v>142604</v>
          </cell>
          <cell r="AH82">
            <v>169107</v>
          </cell>
          <cell r="AI82">
            <v>188211</v>
          </cell>
        </row>
        <row r="83">
          <cell r="A83">
            <v>80</v>
          </cell>
          <cell r="B83" t="str">
            <v xml:space="preserve">Industrial </v>
          </cell>
          <cell r="D83">
            <v>4543775</v>
          </cell>
          <cell r="E83">
            <v>411557</v>
          </cell>
          <cell r="F83">
            <v>375690</v>
          </cell>
          <cell r="G83">
            <v>402016</v>
          </cell>
          <cell r="H83">
            <v>374438</v>
          </cell>
          <cell r="I83">
            <v>365612</v>
          </cell>
          <cell r="J83">
            <v>360380</v>
          </cell>
          <cell r="K83">
            <v>386016</v>
          </cell>
          <cell r="L83">
            <v>369921</v>
          </cell>
          <cell r="M83">
            <v>326764</v>
          </cell>
          <cell r="N83">
            <v>378417</v>
          </cell>
          <cell r="O83">
            <v>376220</v>
          </cell>
          <cell r="P83">
            <v>416744</v>
          </cell>
          <cell r="T83">
            <v>80</v>
          </cell>
          <cell r="U83" t="str">
            <v xml:space="preserve">Industrial </v>
          </cell>
          <cell r="W83">
            <v>4294573</v>
          </cell>
          <cell r="X83">
            <v>364605</v>
          </cell>
          <cell r="Y83">
            <v>356664</v>
          </cell>
          <cell r="Z83">
            <v>404486</v>
          </cell>
          <cell r="AA83">
            <v>358233</v>
          </cell>
          <cell r="AB83">
            <v>326609</v>
          </cell>
          <cell r="AC83">
            <v>348794</v>
          </cell>
          <cell r="AD83">
            <v>352328</v>
          </cell>
          <cell r="AE83">
            <v>340628</v>
          </cell>
          <cell r="AF83">
            <v>336209</v>
          </cell>
          <cell r="AG83">
            <v>349140</v>
          </cell>
          <cell r="AH83">
            <v>376651</v>
          </cell>
          <cell r="AI83">
            <v>380226</v>
          </cell>
        </row>
        <row r="84">
          <cell r="A84">
            <v>81</v>
          </cell>
          <cell r="B84" t="str">
            <v>Other</v>
          </cell>
          <cell r="D84">
            <v>1875761</v>
          </cell>
          <cell r="E84">
            <v>167819</v>
          </cell>
          <cell r="F84">
            <v>147169</v>
          </cell>
          <cell r="G84">
            <v>172922</v>
          </cell>
          <cell r="H84">
            <v>144203</v>
          </cell>
          <cell r="I84">
            <v>166740</v>
          </cell>
          <cell r="J84">
            <v>148258</v>
          </cell>
          <cell r="K84">
            <v>93966</v>
          </cell>
          <cell r="L84">
            <v>123772</v>
          </cell>
          <cell r="M84">
            <v>117144</v>
          </cell>
          <cell r="N84">
            <v>188872</v>
          </cell>
          <cell r="O84">
            <v>198975</v>
          </cell>
          <cell r="P84">
            <v>205921</v>
          </cell>
          <cell r="T84">
            <v>81</v>
          </cell>
          <cell r="U84" t="str">
            <v>Other</v>
          </cell>
          <cell r="W84">
            <v>846115</v>
          </cell>
          <cell r="X84">
            <v>-12891</v>
          </cell>
          <cell r="Y84">
            <v>56914</v>
          </cell>
          <cell r="Z84">
            <v>-3641</v>
          </cell>
          <cell r="AA84">
            <v>-46845</v>
          </cell>
          <cell r="AB84">
            <v>665</v>
          </cell>
          <cell r="AC84">
            <v>474</v>
          </cell>
          <cell r="AD84">
            <v>140980</v>
          </cell>
          <cell r="AE84">
            <v>175506</v>
          </cell>
          <cell r="AF84">
            <v>83939</v>
          </cell>
          <cell r="AG84">
            <v>147049</v>
          </cell>
          <cell r="AH84">
            <v>154293</v>
          </cell>
          <cell r="AI84">
            <v>149672</v>
          </cell>
        </row>
        <row r="85">
          <cell r="A85">
            <v>82</v>
          </cell>
          <cell r="B85" t="str">
            <v>Total Deliveries</v>
          </cell>
          <cell r="D85">
            <v>9633096</v>
          </cell>
          <cell r="E85">
            <v>962112</v>
          </cell>
          <cell r="F85">
            <v>869142</v>
          </cell>
          <cell r="G85">
            <v>917933</v>
          </cell>
          <cell r="H85">
            <v>829579</v>
          </cell>
          <cell r="I85">
            <v>766201</v>
          </cell>
          <cell r="J85">
            <v>727874</v>
          </cell>
          <cell r="K85">
            <v>677965</v>
          </cell>
          <cell r="L85">
            <v>674477</v>
          </cell>
          <cell r="M85">
            <v>678577</v>
          </cell>
          <cell r="N85">
            <v>764942</v>
          </cell>
          <cell r="O85">
            <v>826535</v>
          </cell>
          <cell r="P85">
            <v>937759</v>
          </cell>
          <cell r="T85">
            <v>82</v>
          </cell>
          <cell r="U85" t="str">
            <v>Total Deliveries</v>
          </cell>
          <cell r="W85">
            <v>8583436</v>
          </cell>
          <cell r="X85">
            <v>757464</v>
          </cell>
          <cell r="Y85">
            <v>826301</v>
          </cell>
          <cell r="Z85">
            <v>781615</v>
          </cell>
          <cell r="AA85">
            <v>624822</v>
          </cell>
          <cell r="AB85">
            <v>604683</v>
          </cell>
          <cell r="AC85">
            <v>581033</v>
          </cell>
          <cell r="AD85">
            <v>700098</v>
          </cell>
          <cell r="AE85">
            <v>705143</v>
          </cell>
          <cell r="AF85">
            <v>630335</v>
          </cell>
          <cell r="AG85">
            <v>719698</v>
          </cell>
          <cell r="AH85">
            <v>801744</v>
          </cell>
          <cell r="AI85">
            <v>850500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- 2017</v>
          </cell>
          <cell r="T89">
            <v>86</v>
          </cell>
          <cell r="U89" t="str">
            <v>Customers - 2016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53892</v>
          </cell>
          <cell r="F91">
            <v>53949</v>
          </cell>
          <cell r="G91">
            <v>54041</v>
          </cell>
          <cell r="H91">
            <v>54133</v>
          </cell>
          <cell r="I91">
            <v>54182</v>
          </cell>
          <cell r="J91">
            <v>54196</v>
          </cell>
          <cell r="K91">
            <v>54230</v>
          </cell>
          <cell r="L91">
            <v>54272</v>
          </cell>
          <cell r="M91">
            <v>54312</v>
          </cell>
          <cell r="N91">
            <v>54338</v>
          </cell>
          <cell r="O91">
            <v>54365</v>
          </cell>
          <cell r="P91">
            <v>54410</v>
          </cell>
          <cell r="T91">
            <v>88</v>
          </cell>
          <cell r="U91" t="str">
            <v>Residential</v>
          </cell>
          <cell r="X91">
            <v>52941</v>
          </cell>
          <cell r="Y91">
            <v>52964</v>
          </cell>
          <cell r="Z91">
            <v>53044</v>
          </cell>
          <cell r="AA91">
            <v>53101</v>
          </cell>
          <cell r="AB91">
            <v>53128</v>
          </cell>
          <cell r="AC91">
            <v>53165</v>
          </cell>
          <cell r="AD91">
            <v>53175</v>
          </cell>
          <cell r="AE91">
            <v>53193</v>
          </cell>
          <cell r="AF91">
            <v>53215</v>
          </cell>
          <cell r="AG91">
            <v>53231</v>
          </cell>
          <cell r="AH91">
            <v>53260</v>
          </cell>
          <cell r="AI91">
            <v>53300</v>
          </cell>
        </row>
        <row r="92">
          <cell r="A92">
            <v>89</v>
          </cell>
          <cell r="B92" t="str">
            <v>Commercial</v>
          </cell>
          <cell r="E92">
            <v>4186</v>
          </cell>
          <cell r="F92">
            <v>4185</v>
          </cell>
          <cell r="G92">
            <v>4173</v>
          </cell>
          <cell r="H92">
            <v>4160</v>
          </cell>
          <cell r="I92">
            <v>4141</v>
          </cell>
          <cell r="J92">
            <v>4123</v>
          </cell>
          <cell r="K92">
            <v>4111</v>
          </cell>
          <cell r="L92">
            <v>4098</v>
          </cell>
          <cell r="M92">
            <v>4084</v>
          </cell>
          <cell r="N92">
            <v>4072</v>
          </cell>
          <cell r="O92">
            <v>4062</v>
          </cell>
          <cell r="P92">
            <v>4054</v>
          </cell>
          <cell r="T92">
            <v>89</v>
          </cell>
          <cell r="U92" t="str">
            <v>Commercial</v>
          </cell>
          <cell r="X92">
            <v>4253</v>
          </cell>
          <cell r="Y92">
            <v>4259</v>
          </cell>
          <cell r="Z92">
            <v>4261</v>
          </cell>
          <cell r="AA92">
            <v>4265</v>
          </cell>
          <cell r="AB92">
            <v>4266</v>
          </cell>
          <cell r="AC92">
            <v>4263</v>
          </cell>
          <cell r="AD92">
            <v>4259</v>
          </cell>
          <cell r="AE92">
            <v>4254</v>
          </cell>
          <cell r="AF92">
            <v>4247</v>
          </cell>
          <cell r="AG92">
            <v>4242</v>
          </cell>
          <cell r="AH92">
            <v>4238</v>
          </cell>
          <cell r="AI92">
            <v>4236</v>
          </cell>
        </row>
        <row r="93">
          <cell r="A93">
            <v>90</v>
          </cell>
          <cell r="B93" t="str">
            <v xml:space="preserve">Industrial </v>
          </cell>
          <cell r="E93">
            <v>1898</v>
          </cell>
          <cell r="F93">
            <v>1918</v>
          </cell>
          <cell r="G93">
            <v>1938</v>
          </cell>
          <cell r="H93">
            <v>1961</v>
          </cell>
          <cell r="I93">
            <v>1980</v>
          </cell>
          <cell r="J93">
            <v>1997</v>
          </cell>
          <cell r="K93">
            <v>2012</v>
          </cell>
          <cell r="L93">
            <v>2027</v>
          </cell>
          <cell r="M93">
            <v>2042</v>
          </cell>
          <cell r="N93">
            <v>2055</v>
          </cell>
          <cell r="O93">
            <v>2066</v>
          </cell>
          <cell r="P93">
            <v>2078</v>
          </cell>
          <cell r="T93">
            <v>90</v>
          </cell>
          <cell r="U93" t="str">
            <v xml:space="preserve">Industrial </v>
          </cell>
          <cell r="X93">
            <v>1706</v>
          </cell>
          <cell r="Y93">
            <v>1712</v>
          </cell>
          <cell r="Z93">
            <v>1716</v>
          </cell>
          <cell r="AA93">
            <v>1720</v>
          </cell>
          <cell r="AB93">
            <v>1725</v>
          </cell>
          <cell r="AC93">
            <v>1732</v>
          </cell>
          <cell r="AD93">
            <v>1740</v>
          </cell>
          <cell r="AE93">
            <v>1750</v>
          </cell>
          <cell r="AF93">
            <v>1760</v>
          </cell>
          <cell r="AG93">
            <v>1769</v>
          </cell>
          <cell r="AH93">
            <v>1777</v>
          </cell>
          <cell r="AI93">
            <v>1786</v>
          </cell>
        </row>
        <row r="94">
          <cell r="A94">
            <v>91</v>
          </cell>
          <cell r="B94" t="str">
            <v>Other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  <cell r="L94">
            <v>10</v>
          </cell>
          <cell r="M94">
            <v>10</v>
          </cell>
          <cell r="N94">
            <v>10</v>
          </cell>
          <cell r="O94">
            <v>10</v>
          </cell>
          <cell r="P94">
            <v>10</v>
          </cell>
          <cell r="T94">
            <v>91</v>
          </cell>
          <cell r="U94" t="str">
            <v>Other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2</v>
          </cell>
          <cell r="AH94">
            <v>2</v>
          </cell>
          <cell r="AI94">
            <v>2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59986</v>
          </cell>
          <cell r="F95">
            <v>60052</v>
          </cell>
          <cell r="G95">
            <v>60162</v>
          </cell>
          <cell r="H95">
            <v>60254</v>
          </cell>
          <cell r="I95">
            <v>60303</v>
          </cell>
          <cell r="J95">
            <v>60316</v>
          </cell>
          <cell r="K95">
            <v>60353</v>
          </cell>
          <cell r="L95">
            <v>60397</v>
          </cell>
          <cell r="M95">
            <v>60438</v>
          </cell>
          <cell r="N95">
            <v>60465</v>
          </cell>
          <cell r="O95">
            <v>60493</v>
          </cell>
          <cell r="P95">
            <v>60542</v>
          </cell>
          <cell r="T95">
            <v>92</v>
          </cell>
          <cell r="U95" t="str">
            <v>Total customers</v>
          </cell>
          <cell r="X95">
            <v>58901</v>
          </cell>
          <cell r="Y95">
            <v>58935</v>
          </cell>
          <cell r="Z95">
            <v>59022</v>
          </cell>
          <cell r="AA95">
            <v>59086</v>
          </cell>
          <cell r="AB95">
            <v>59119</v>
          </cell>
          <cell r="AC95">
            <v>59160</v>
          </cell>
          <cell r="AD95">
            <v>59174</v>
          </cell>
          <cell r="AE95">
            <v>59197</v>
          </cell>
          <cell r="AF95">
            <v>59222</v>
          </cell>
          <cell r="AG95">
            <v>59242</v>
          </cell>
          <cell r="AH95">
            <v>59275</v>
          </cell>
          <cell r="AI95">
            <v>59322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77838</v>
          </cell>
          <cell r="T97">
            <v>94</v>
          </cell>
        </row>
        <row r="98">
          <cell r="A98">
            <v>95</v>
          </cell>
          <cell r="B98" t="str">
            <v>Volume - 2017 -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- 2016 -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169015.09397214919</v>
          </cell>
          <cell r="F99">
            <v>316315.51270815078</v>
          </cell>
          <cell r="G99">
            <v>458477.65118317271</v>
          </cell>
          <cell r="H99">
            <v>587449.8977505113</v>
          </cell>
          <cell r="I99">
            <v>676770.27948193601</v>
          </cell>
          <cell r="J99">
            <v>755165.74155224464</v>
          </cell>
          <cell r="K99">
            <v>823802.80455740588</v>
          </cell>
          <cell r="L99">
            <v>885450.77417470061</v>
          </cell>
          <cell r="M99">
            <v>995811.17927743704</v>
          </cell>
          <cell r="N99">
            <v>1071747.2003116177</v>
          </cell>
          <cell r="O99">
            <v>1173043.723829</v>
          </cell>
          <cell r="P99">
            <v>1315039.3417080536</v>
          </cell>
          <cell r="T99">
            <v>96</v>
          </cell>
          <cell r="U99" t="str">
            <v>Residential</v>
          </cell>
          <cell r="X99">
            <v>169382</v>
          </cell>
          <cell r="Y99">
            <v>345574</v>
          </cell>
          <cell r="Z99">
            <v>493633</v>
          </cell>
          <cell r="AA99">
            <v>609849</v>
          </cell>
          <cell r="AB99">
            <v>699312</v>
          </cell>
          <cell r="AC99">
            <v>776205.98188723344</v>
          </cell>
          <cell r="AD99">
            <v>844113.17810887133</v>
          </cell>
          <cell r="AE99">
            <v>901240.17810887133</v>
          </cell>
          <cell r="AF99">
            <v>967880.49946440745</v>
          </cell>
          <cell r="AG99">
            <v>1046666.3598208199</v>
          </cell>
          <cell r="AH99">
            <v>1145695.4765799979</v>
          </cell>
          <cell r="AI99">
            <v>1274618.4486318044</v>
          </cell>
        </row>
        <row r="100">
          <cell r="A100">
            <v>97</v>
          </cell>
          <cell r="B100" t="str">
            <v>Commercial</v>
          </cell>
          <cell r="E100">
            <v>203694.61486025903</v>
          </cell>
          <cell r="F100">
            <v>393605.99863667344</v>
          </cell>
          <cell r="G100">
            <v>585454.3772519232</v>
          </cell>
          <cell r="H100">
            <v>759274.41815171868</v>
          </cell>
          <cell r="I100">
            <v>897677.57327880012</v>
          </cell>
          <cell r="J100">
            <v>1032774.9537442788</v>
          </cell>
          <cell r="K100">
            <v>1156935.4367513875</v>
          </cell>
          <cell r="L100">
            <v>1271336.157366832</v>
          </cell>
          <cell r="M100">
            <v>1389497.2246567337</v>
          </cell>
          <cell r="N100">
            <v>1506035.9333917615</v>
          </cell>
          <cell r="O100">
            <v>1649496.0560911479</v>
          </cell>
          <cell r="P100">
            <v>1814340.9290096406</v>
          </cell>
          <cell r="T100">
            <v>97</v>
          </cell>
          <cell r="U100" t="str">
            <v>Commercial</v>
          </cell>
          <cell r="X100">
            <v>225740</v>
          </cell>
          <cell r="Y100">
            <v>451459</v>
          </cell>
          <cell r="Z100">
            <v>674195</v>
          </cell>
          <cell r="AA100">
            <v>863203</v>
          </cell>
          <cell r="AB100">
            <v>1043882</v>
          </cell>
          <cell r="AC100">
            <v>1192682.1791800566</v>
          </cell>
          <cell r="AD100">
            <v>1326148.3760833577</v>
          </cell>
          <cell r="AE100">
            <v>1453079.3760833577</v>
          </cell>
          <cell r="AF100">
            <v>1591119.7797253872</v>
          </cell>
          <cell r="AG100">
            <v>1729988.3160969911</v>
          </cell>
          <cell r="AH100">
            <v>1894665.4998539295</v>
          </cell>
          <cell r="AI100">
            <v>2077946.2477359043</v>
          </cell>
        </row>
        <row r="101">
          <cell r="A101">
            <v>98</v>
          </cell>
          <cell r="B101" t="str">
            <v xml:space="preserve">Industrial </v>
          </cell>
          <cell r="E101">
            <v>400776.21969033009</v>
          </cell>
          <cell r="F101">
            <v>766624.89044697629</v>
          </cell>
          <cell r="G101">
            <v>1158109.6504041289</v>
          </cell>
          <cell r="H101">
            <v>1522739.1177329826</v>
          </cell>
          <cell r="I101">
            <v>1878773.4930372965</v>
          </cell>
          <cell r="J101">
            <v>2229713.4092900963</v>
          </cell>
          <cell r="K101">
            <v>2605617.9764339272</v>
          </cell>
          <cell r="L101">
            <v>2965848.670756646</v>
          </cell>
          <cell r="M101">
            <v>3284052.8775927546</v>
          </cell>
          <cell r="N101">
            <v>3652556.8215016066</v>
          </cell>
          <cell r="O101">
            <v>4018921.9982471513</v>
          </cell>
          <cell r="P101">
            <v>4424749.3426818578</v>
          </cell>
          <cell r="T101">
            <v>98</v>
          </cell>
          <cell r="U101" t="str">
            <v xml:space="preserve">Industrial </v>
          </cell>
          <cell r="X101">
            <v>355054</v>
          </cell>
          <cell r="Y101">
            <v>702375</v>
          </cell>
          <cell r="Z101">
            <v>1096265</v>
          </cell>
          <cell r="AA101">
            <v>1445114</v>
          </cell>
          <cell r="AB101">
            <v>1763167</v>
          </cell>
          <cell r="AC101">
            <v>2102824.2986658877</v>
          </cell>
          <cell r="AD101">
            <v>2445923.0154834939</v>
          </cell>
          <cell r="AE101">
            <v>2777628.0154834939</v>
          </cell>
          <cell r="AF101">
            <v>3105029.648359139</v>
          </cell>
          <cell r="AG101">
            <v>3445023.4926709104</v>
          </cell>
          <cell r="AH101">
            <v>3811807.7949398751</v>
          </cell>
          <cell r="AI101">
            <v>4182073.6436106316</v>
          </cell>
        </row>
        <row r="102">
          <cell r="A102">
            <v>99</v>
          </cell>
          <cell r="B102" t="str">
            <v>Other</v>
          </cell>
          <cell r="E102">
            <v>163423.28269549127</v>
          </cell>
          <cell r="F102">
            <v>306736.95588664914</v>
          </cell>
          <cell r="G102">
            <v>475129.57834258449</v>
          </cell>
          <cell r="H102">
            <v>615555.35193300224</v>
          </cell>
          <cell r="I102">
            <v>777927.53422923363</v>
          </cell>
          <cell r="J102">
            <v>922302.2007011394</v>
          </cell>
          <cell r="K102">
            <v>1013806.6002531892</v>
          </cell>
          <cell r="L102">
            <v>1134336.5544843704</v>
          </cell>
          <cell r="M102">
            <v>1248412.1027363911</v>
          </cell>
          <cell r="N102">
            <v>1432336.0550199631</v>
          </cell>
          <cell r="O102">
            <v>1626098.8822670174</v>
          </cell>
          <cell r="P102">
            <v>1826625.8100107121</v>
          </cell>
          <cell r="T102">
            <v>99</v>
          </cell>
          <cell r="U102" t="str">
            <v>Other</v>
          </cell>
          <cell r="X102">
            <v>-12552.932515337425</v>
          </cell>
          <cell r="Y102">
            <v>42870.647482714972</v>
          </cell>
          <cell r="Z102">
            <v>39324.722368292925</v>
          </cell>
          <cell r="AA102">
            <v>-6293.1388645437692</v>
          </cell>
          <cell r="AB102">
            <v>-5645.1388645437692</v>
          </cell>
          <cell r="AC102">
            <v>-5183.5914889473133</v>
          </cell>
          <cell r="AD102">
            <v>132103.21949556921</v>
          </cell>
          <cell r="AE102">
            <v>303012.16291751876</v>
          </cell>
          <cell r="AF102">
            <v>384752.38786639401</v>
          </cell>
          <cell r="AG102">
            <v>527949.73132729577</v>
          </cell>
          <cell r="AH102">
            <v>678200.90865712333</v>
          </cell>
          <cell r="AI102">
            <v>823952.30704060756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936909.21121822949</v>
          </cell>
          <cell r="F103">
            <v>1783283.3576784497</v>
          </cell>
          <cell r="G103">
            <v>2677171.2571818093</v>
          </cell>
          <cell r="H103">
            <v>3485018.785568215</v>
          </cell>
          <cell r="I103">
            <v>4231148.8800272662</v>
          </cell>
          <cell r="J103">
            <v>4939956.3052877598</v>
          </cell>
          <cell r="K103">
            <v>5600162.8179959096</v>
          </cell>
          <cell r="L103">
            <v>6256972.1567825489</v>
          </cell>
          <cell r="M103">
            <v>6917773.3842633162</v>
          </cell>
          <cell r="N103">
            <v>7662676.0102249496</v>
          </cell>
          <cell r="O103">
            <v>8467560.6604343168</v>
          </cell>
          <cell r="P103">
            <v>9380755.4234102648</v>
          </cell>
          <cell r="T103">
            <v>100</v>
          </cell>
          <cell r="U103" t="str">
            <v>Total Deliveries</v>
          </cell>
          <cell r="X103">
            <v>737623.06748466252</v>
          </cell>
          <cell r="Y103">
            <v>1542278.6474827151</v>
          </cell>
          <cell r="Z103">
            <v>2303417.722368293</v>
          </cell>
          <cell r="AA103">
            <v>2911872.8611354562</v>
          </cell>
          <cell r="AB103">
            <v>3500715.8611354562</v>
          </cell>
          <cell r="AC103">
            <v>4066528.8682442307</v>
          </cell>
          <cell r="AD103">
            <v>4748287.7891712924</v>
          </cell>
          <cell r="AE103">
            <v>5434959.7325932421</v>
          </cell>
          <cell r="AF103">
            <v>6048782.3154153274</v>
          </cell>
          <cell r="AG103">
            <v>6749627.8999160174</v>
          </cell>
          <cell r="AH103">
            <v>7530369.6800309261</v>
          </cell>
          <cell r="AI103">
            <v>8358590.6470189486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- 2017 -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- 2016 -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173562</v>
          </cell>
          <cell r="F107">
            <v>324825</v>
          </cell>
          <cell r="G107">
            <v>470811</v>
          </cell>
          <cell r="H107">
            <v>603253</v>
          </cell>
          <cell r="I107">
            <v>694976</v>
          </cell>
          <cell r="J107">
            <v>775480</v>
          </cell>
          <cell r="K107">
            <v>845963</v>
          </cell>
          <cell r="L107">
            <v>909269</v>
          </cell>
          <cell r="M107">
            <v>1022598</v>
          </cell>
          <cell r="N107">
            <v>1100577</v>
          </cell>
          <cell r="O107">
            <v>1204598</v>
          </cell>
          <cell r="P107">
            <v>1350413</v>
          </cell>
          <cell r="T107">
            <v>104</v>
          </cell>
          <cell r="U107" t="str">
            <v>Residential</v>
          </cell>
          <cell r="X107">
            <v>173938</v>
          </cell>
          <cell r="Y107">
            <v>354870</v>
          </cell>
          <cell r="Z107">
            <v>506912</v>
          </cell>
          <cell r="AA107">
            <v>626254</v>
          </cell>
          <cell r="AB107">
            <v>718124</v>
          </cell>
          <cell r="AC107">
            <v>797086</v>
          </cell>
          <cell r="AD107">
            <v>866820</v>
          </cell>
          <cell r="AE107">
            <v>925484</v>
          </cell>
          <cell r="AF107">
            <v>993917</v>
          </cell>
          <cell r="AG107">
            <v>1074822</v>
          </cell>
          <cell r="AH107">
            <v>1176515</v>
          </cell>
          <cell r="AI107">
            <v>1308906</v>
          </cell>
        </row>
        <row r="108">
          <cell r="A108">
            <v>105</v>
          </cell>
          <cell r="B108" t="str">
            <v>Commercial</v>
          </cell>
          <cell r="E108">
            <v>209174</v>
          </cell>
          <cell r="F108">
            <v>404194</v>
          </cell>
          <cell r="G108">
            <v>601203</v>
          </cell>
          <cell r="H108">
            <v>779699</v>
          </cell>
          <cell r="I108">
            <v>921825</v>
          </cell>
          <cell r="J108">
            <v>1060557</v>
          </cell>
          <cell r="K108">
            <v>1188057</v>
          </cell>
          <cell r="L108">
            <v>1305535</v>
          </cell>
          <cell r="M108">
            <v>1426875</v>
          </cell>
          <cell r="N108">
            <v>1546549</v>
          </cell>
          <cell r="O108">
            <v>1693868</v>
          </cell>
          <cell r="P108">
            <v>1863147</v>
          </cell>
          <cell r="T108">
            <v>105</v>
          </cell>
          <cell r="U108" t="str">
            <v>Commercial</v>
          </cell>
          <cell r="X108">
            <v>231812</v>
          </cell>
          <cell r="Y108">
            <v>463603</v>
          </cell>
          <cell r="Z108">
            <v>692331</v>
          </cell>
          <cell r="AA108">
            <v>886423</v>
          </cell>
          <cell r="AB108">
            <v>1071962</v>
          </cell>
          <cell r="AC108">
            <v>1224765</v>
          </cell>
          <cell r="AD108">
            <v>1361821</v>
          </cell>
          <cell r="AE108">
            <v>1492166</v>
          </cell>
          <cell r="AF108">
            <v>1633920</v>
          </cell>
          <cell r="AG108">
            <v>1776524</v>
          </cell>
          <cell r="AH108">
            <v>1945631</v>
          </cell>
          <cell r="AI108">
            <v>2133842</v>
          </cell>
        </row>
        <row r="109">
          <cell r="A109">
            <v>106</v>
          </cell>
          <cell r="B109" t="str">
            <v xml:space="preserve">Industrial </v>
          </cell>
          <cell r="E109">
            <v>411557</v>
          </cell>
          <cell r="F109">
            <v>787247</v>
          </cell>
          <cell r="G109">
            <v>1189263</v>
          </cell>
          <cell r="H109">
            <v>1563701</v>
          </cell>
          <cell r="I109">
            <v>1929313</v>
          </cell>
          <cell r="J109">
            <v>2289693</v>
          </cell>
          <cell r="K109">
            <v>2675709</v>
          </cell>
          <cell r="L109">
            <v>3045630</v>
          </cell>
          <cell r="M109">
            <v>3372394</v>
          </cell>
          <cell r="N109">
            <v>3750811</v>
          </cell>
          <cell r="O109">
            <v>4127031</v>
          </cell>
          <cell r="P109">
            <v>4543775</v>
          </cell>
          <cell r="T109">
            <v>106</v>
          </cell>
          <cell r="U109" t="str">
            <v xml:space="preserve">Industrial </v>
          </cell>
          <cell r="X109">
            <v>364605</v>
          </cell>
          <cell r="Y109">
            <v>721269</v>
          </cell>
          <cell r="Z109">
            <v>1125755</v>
          </cell>
          <cell r="AA109">
            <v>1483988</v>
          </cell>
          <cell r="AB109">
            <v>1810597</v>
          </cell>
          <cell r="AC109">
            <v>2159391</v>
          </cell>
          <cell r="AD109">
            <v>2511719</v>
          </cell>
          <cell r="AE109">
            <v>2852347</v>
          </cell>
          <cell r="AF109">
            <v>3188556</v>
          </cell>
          <cell r="AG109">
            <v>3537696</v>
          </cell>
          <cell r="AH109">
            <v>3914347</v>
          </cell>
          <cell r="AI109">
            <v>4294573</v>
          </cell>
        </row>
        <row r="110">
          <cell r="A110">
            <v>107</v>
          </cell>
          <cell r="B110" t="str">
            <v>Other</v>
          </cell>
          <cell r="E110">
            <v>167819</v>
          </cell>
          <cell r="F110">
            <v>314988</v>
          </cell>
          <cell r="G110">
            <v>487910</v>
          </cell>
          <cell r="H110">
            <v>632113</v>
          </cell>
          <cell r="I110">
            <v>798853</v>
          </cell>
          <cell r="J110">
            <v>947111</v>
          </cell>
          <cell r="K110">
            <v>1041077</v>
          </cell>
          <cell r="L110">
            <v>1164849</v>
          </cell>
          <cell r="M110">
            <v>1281993</v>
          </cell>
          <cell r="N110">
            <v>1470865</v>
          </cell>
          <cell r="O110">
            <v>1669840</v>
          </cell>
          <cell r="P110">
            <v>1875761</v>
          </cell>
          <cell r="T110">
            <v>107</v>
          </cell>
          <cell r="U110" t="str">
            <v>Other</v>
          </cell>
          <cell r="X110">
            <v>-12891</v>
          </cell>
          <cell r="Y110">
            <v>44023</v>
          </cell>
          <cell r="Z110">
            <v>40382</v>
          </cell>
          <cell r="AA110">
            <v>-6463</v>
          </cell>
          <cell r="AB110">
            <v>-5798</v>
          </cell>
          <cell r="AC110">
            <v>-5324</v>
          </cell>
          <cell r="AD110">
            <v>135656</v>
          </cell>
          <cell r="AE110">
            <v>311162</v>
          </cell>
          <cell r="AF110">
            <v>395101</v>
          </cell>
          <cell r="AG110">
            <v>542150</v>
          </cell>
          <cell r="AH110">
            <v>696443</v>
          </cell>
          <cell r="AI110">
            <v>846115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962112</v>
          </cell>
          <cell r="F111">
            <v>1831254</v>
          </cell>
          <cell r="G111">
            <v>2749187</v>
          </cell>
          <cell r="H111">
            <v>3578766</v>
          </cell>
          <cell r="I111">
            <v>4344967</v>
          </cell>
          <cell r="J111">
            <v>5072841</v>
          </cell>
          <cell r="K111">
            <v>5750806</v>
          </cell>
          <cell r="L111">
            <v>6425283</v>
          </cell>
          <cell r="M111">
            <v>7103860</v>
          </cell>
          <cell r="N111">
            <v>7868802</v>
          </cell>
          <cell r="O111">
            <v>8695337</v>
          </cell>
          <cell r="P111">
            <v>9633096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757464</v>
          </cell>
          <cell r="Y111">
            <v>1583765</v>
          </cell>
          <cell r="Z111">
            <v>2365380</v>
          </cell>
          <cell r="AA111">
            <v>2990202</v>
          </cell>
          <cell r="AB111">
            <v>3594885</v>
          </cell>
          <cell r="AC111">
            <v>4175918</v>
          </cell>
          <cell r="AD111">
            <v>4876016</v>
          </cell>
          <cell r="AE111">
            <v>5581159</v>
          </cell>
          <cell r="AF111">
            <v>6211494</v>
          </cell>
          <cell r="AG111">
            <v>6931192</v>
          </cell>
          <cell r="AH111">
            <v>7732936</v>
          </cell>
          <cell r="AI111">
            <v>8583436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E114">
            <v>59567</v>
          </cell>
          <cell r="F114">
            <v>59639</v>
          </cell>
          <cell r="G114">
            <v>59733</v>
          </cell>
          <cell r="H114">
            <v>59827</v>
          </cell>
          <cell r="I114">
            <v>59873</v>
          </cell>
          <cell r="J114">
            <v>59903</v>
          </cell>
          <cell r="K114">
            <v>59926</v>
          </cell>
          <cell r="L114">
            <v>59928</v>
          </cell>
          <cell r="M114">
            <v>59935</v>
          </cell>
          <cell r="N114">
            <v>59949</v>
          </cell>
          <cell r="O114">
            <v>59986</v>
          </cell>
          <cell r="P114">
            <v>60033</v>
          </cell>
          <cell r="T114">
            <v>111</v>
          </cell>
          <cell r="U114" t="str">
            <v xml:space="preserve">Customers </v>
          </cell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E115">
            <v>652762.68380562856</v>
          </cell>
          <cell r="F115">
            <v>1334490.2132632192</v>
          </cell>
          <cell r="G115">
            <v>1954315.6100886161</v>
          </cell>
          <cell r="H115">
            <v>2630177.7193494984</v>
          </cell>
          <cell r="I115">
            <v>3229745.6422241698</v>
          </cell>
          <cell r="J115">
            <v>3793813.1268867464</v>
          </cell>
          <cell r="K115">
            <v>4331540.3642029408</v>
          </cell>
          <cell r="L115">
            <v>4865823.5465965532</v>
          </cell>
          <cell r="M115">
            <v>5389467.4262342975</v>
          </cell>
          <cell r="N115">
            <v>5942057.4544746326</v>
          </cell>
          <cell r="O115">
            <v>6555558.0874476582</v>
          </cell>
          <cell r="P115">
            <v>7270446.5868146848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E116">
            <v>670322</v>
          </cell>
          <cell r="F116">
            <v>1370388</v>
          </cell>
          <cell r="G116">
            <v>2006887</v>
          </cell>
          <cell r="H116">
            <v>2700930</v>
          </cell>
          <cell r="I116">
            <v>3316626</v>
          </cell>
          <cell r="J116">
            <v>3895867</v>
          </cell>
          <cell r="K116">
            <v>4448059</v>
          </cell>
          <cell r="L116">
            <v>4996714</v>
          </cell>
          <cell r="M116">
            <v>5534444</v>
          </cell>
          <cell r="N116">
            <v>6101899</v>
          </cell>
          <cell r="O116">
            <v>6731903</v>
          </cell>
          <cell r="P116">
            <v>7466022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24372</v>
          </cell>
          <cell r="F5">
            <v>24421</v>
          </cell>
          <cell r="G5">
            <v>24519</v>
          </cell>
          <cell r="H5">
            <v>24560</v>
          </cell>
          <cell r="I5">
            <v>24597</v>
          </cell>
          <cell r="J5">
            <v>24588</v>
          </cell>
          <cell r="K5">
            <v>24556</v>
          </cell>
          <cell r="L5">
            <v>24643</v>
          </cell>
          <cell r="M5">
            <v>24685</v>
          </cell>
          <cell r="N5">
            <v>24678</v>
          </cell>
          <cell r="O5">
            <v>24633</v>
          </cell>
          <cell r="P5">
            <v>24634</v>
          </cell>
          <cell r="T5">
            <v>2</v>
          </cell>
          <cell r="U5" t="str">
            <v>Residential</v>
          </cell>
          <cell r="X5">
            <v>24140</v>
          </cell>
          <cell r="Y5">
            <v>24172</v>
          </cell>
          <cell r="Z5">
            <v>24190</v>
          </cell>
          <cell r="AA5">
            <v>24203</v>
          </cell>
          <cell r="AB5">
            <v>24287</v>
          </cell>
          <cell r="AC5">
            <v>24314</v>
          </cell>
          <cell r="AD5">
            <v>24378</v>
          </cell>
          <cell r="AE5">
            <v>24356</v>
          </cell>
          <cell r="AF5">
            <v>24368</v>
          </cell>
          <cell r="AG5">
            <v>24338</v>
          </cell>
          <cell r="AH5">
            <v>24371</v>
          </cell>
          <cell r="AI5">
            <v>24345</v>
          </cell>
        </row>
        <row r="6">
          <cell r="E6">
            <v>7441</v>
          </cell>
          <cell r="F6">
            <v>7454</v>
          </cell>
          <cell r="G6">
            <v>7443</v>
          </cell>
          <cell r="H6">
            <v>7419</v>
          </cell>
          <cell r="I6">
            <v>7431</v>
          </cell>
          <cell r="J6">
            <v>7437</v>
          </cell>
          <cell r="K6">
            <v>7437</v>
          </cell>
          <cell r="L6">
            <v>7461</v>
          </cell>
          <cell r="M6">
            <v>7467</v>
          </cell>
          <cell r="N6">
            <v>7462</v>
          </cell>
          <cell r="O6">
            <v>7478</v>
          </cell>
          <cell r="P6">
            <v>7465</v>
          </cell>
          <cell r="T6">
            <v>3</v>
          </cell>
          <cell r="U6" t="str">
            <v>Commercial</v>
          </cell>
          <cell r="X6">
            <v>7387</v>
          </cell>
          <cell r="Y6">
            <v>7386</v>
          </cell>
          <cell r="Z6">
            <v>7384</v>
          </cell>
          <cell r="AA6">
            <v>7388</v>
          </cell>
          <cell r="AB6">
            <v>7426</v>
          </cell>
          <cell r="AC6">
            <v>7416</v>
          </cell>
          <cell r="AD6">
            <v>7393</v>
          </cell>
          <cell r="AE6">
            <v>7404</v>
          </cell>
          <cell r="AF6">
            <v>7408</v>
          </cell>
          <cell r="AG6">
            <v>7415</v>
          </cell>
          <cell r="AH6">
            <v>7417</v>
          </cell>
          <cell r="AI6">
            <v>7428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31815</v>
          </cell>
          <cell r="F9">
            <v>31877</v>
          </cell>
          <cell r="G9">
            <v>31964</v>
          </cell>
          <cell r="H9">
            <v>31981</v>
          </cell>
          <cell r="I9">
            <v>32030</v>
          </cell>
          <cell r="J9">
            <v>32027</v>
          </cell>
          <cell r="K9">
            <v>31995</v>
          </cell>
          <cell r="L9">
            <v>32106</v>
          </cell>
          <cell r="M9">
            <v>32154</v>
          </cell>
          <cell r="N9">
            <v>32142</v>
          </cell>
          <cell r="O9">
            <v>32113</v>
          </cell>
          <cell r="P9">
            <v>32101</v>
          </cell>
          <cell r="T9">
            <v>6</v>
          </cell>
          <cell r="U9" t="str">
            <v>Total customers</v>
          </cell>
          <cell r="X9">
            <v>31529</v>
          </cell>
          <cell r="Y9">
            <v>31560</v>
          </cell>
          <cell r="Z9">
            <v>31576</v>
          </cell>
          <cell r="AA9">
            <v>31593</v>
          </cell>
          <cell r="AB9">
            <v>31715</v>
          </cell>
          <cell r="AC9">
            <v>31732</v>
          </cell>
          <cell r="AD9">
            <v>31773</v>
          </cell>
          <cell r="AE9">
            <v>31762</v>
          </cell>
          <cell r="AF9">
            <v>31778</v>
          </cell>
          <cell r="AG9">
            <v>31755</v>
          </cell>
          <cell r="AH9">
            <v>31790</v>
          </cell>
          <cell r="AI9">
            <v>31775</v>
          </cell>
        </row>
        <row r="10">
          <cell r="E10">
            <v>31827</v>
          </cell>
          <cell r="F10">
            <v>31889</v>
          </cell>
          <cell r="G10">
            <v>31976</v>
          </cell>
          <cell r="H10">
            <v>31993</v>
          </cell>
          <cell r="I10">
            <v>32042</v>
          </cell>
          <cell r="J10">
            <v>32039</v>
          </cell>
          <cell r="K10">
            <v>32007</v>
          </cell>
          <cell r="L10">
            <v>32118</v>
          </cell>
          <cell r="M10">
            <v>32166</v>
          </cell>
          <cell r="N10">
            <v>32154</v>
          </cell>
          <cell r="O10">
            <v>32126</v>
          </cell>
          <cell r="P10">
            <v>32114</v>
          </cell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23380.919000000002</v>
          </cell>
          <cell r="F12">
            <v>19491.59</v>
          </cell>
          <cell r="G12">
            <v>18453.791000000001</v>
          </cell>
          <cell r="H12">
            <v>20346.208999999999</v>
          </cell>
          <cell r="I12">
            <v>21122.703000000001</v>
          </cell>
          <cell r="J12">
            <v>27829.132000000001</v>
          </cell>
          <cell r="K12">
            <v>33002.945</v>
          </cell>
          <cell r="L12">
            <v>30875.004000000001</v>
          </cell>
          <cell r="M12">
            <v>30010.624</v>
          </cell>
          <cell r="N12">
            <v>25999.722000000002</v>
          </cell>
          <cell r="O12">
            <v>19674.449000000001</v>
          </cell>
          <cell r="P12">
            <v>21323.411</v>
          </cell>
          <cell r="T12">
            <v>9</v>
          </cell>
          <cell r="U12" t="str">
            <v>Residential</v>
          </cell>
          <cell r="X12">
            <v>26324.956999999999</v>
          </cell>
          <cell r="Y12">
            <v>26440.554</v>
          </cell>
          <cell r="Z12">
            <v>21157.383999999998</v>
          </cell>
          <cell r="AA12">
            <v>18283.126</v>
          </cell>
          <cell r="AB12">
            <v>20008.702000000001</v>
          </cell>
          <cell r="AC12">
            <v>29579.780999999999</v>
          </cell>
          <cell r="AD12">
            <v>33969.85</v>
          </cell>
          <cell r="AE12">
            <v>33300.748</v>
          </cell>
          <cell r="AF12">
            <v>32625.659</v>
          </cell>
          <cell r="AG12">
            <v>24354.197</v>
          </cell>
          <cell r="AH12">
            <v>17902.687999999998</v>
          </cell>
          <cell r="AI12">
            <v>19705.948</v>
          </cell>
        </row>
        <row r="13">
          <cell r="E13">
            <v>22683.006000000001</v>
          </cell>
          <cell r="F13">
            <v>20864.488000000001</v>
          </cell>
          <cell r="G13">
            <v>21314.923999999999</v>
          </cell>
          <cell r="H13">
            <v>23223.17</v>
          </cell>
          <cell r="I13">
            <v>23325.282999999999</v>
          </cell>
          <cell r="J13">
            <v>28217.326000000001</v>
          </cell>
          <cell r="K13">
            <v>29994.738000000001</v>
          </cell>
          <cell r="L13">
            <v>29142.581999999999</v>
          </cell>
          <cell r="M13">
            <v>29780.047999999999</v>
          </cell>
          <cell r="N13">
            <v>27136.592000000001</v>
          </cell>
          <cell r="O13">
            <v>24035.550999999999</v>
          </cell>
          <cell r="P13">
            <v>21949.866000000002</v>
          </cell>
          <cell r="T13">
            <v>10</v>
          </cell>
          <cell r="U13" t="str">
            <v>Commercial</v>
          </cell>
          <cell r="X13">
            <v>24341.325000000001</v>
          </cell>
          <cell r="Y13">
            <v>21858.546999999999</v>
          </cell>
          <cell r="Z13">
            <v>21915.324000000001</v>
          </cell>
          <cell r="AA13">
            <v>22803.163</v>
          </cell>
          <cell r="AB13">
            <v>23534.401000000002</v>
          </cell>
          <cell r="AC13">
            <v>28733.311000000002</v>
          </cell>
          <cell r="AD13">
            <v>28797.101999999999</v>
          </cell>
          <cell r="AE13">
            <v>30263.07</v>
          </cell>
          <cell r="AF13">
            <v>30953.199000000001</v>
          </cell>
          <cell r="AG13">
            <v>26594.61</v>
          </cell>
          <cell r="AH13">
            <v>22404.634999999998</v>
          </cell>
          <cell r="AI13">
            <v>22258.975999999999</v>
          </cell>
        </row>
        <row r="14">
          <cell r="E14">
            <v>1590</v>
          </cell>
          <cell r="F14">
            <v>240</v>
          </cell>
          <cell r="G14">
            <v>1330</v>
          </cell>
          <cell r="H14">
            <v>1850</v>
          </cell>
          <cell r="I14">
            <v>2090</v>
          </cell>
          <cell r="J14">
            <v>810</v>
          </cell>
          <cell r="K14">
            <v>620</v>
          </cell>
          <cell r="L14">
            <v>1950</v>
          </cell>
          <cell r="M14">
            <v>1770</v>
          </cell>
          <cell r="N14">
            <v>730</v>
          </cell>
          <cell r="O14">
            <v>11590</v>
          </cell>
          <cell r="P14">
            <v>2810</v>
          </cell>
          <cell r="T14">
            <v>11</v>
          </cell>
          <cell r="U14" t="str">
            <v xml:space="preserve">Industrial </v>
          </cell>
          <cell r="X14">
            <v>2570</v>
          </cell>
          <cell r="Y14">
            <v>2720</v>
          </cell>
          <cell r="Z14">
            <v>1390</v>
          </cell>
          <cell r="AA14">
            <v>1440</v>
          </cell>
          <cell r="AB14">
            <v>1210</v>
          </cell>
          <cell r="AC14">
            <v>2250</v>
          </cell>
          <cell r="AD14">
            <v>980</v>
          </cell>
          <cell r="AE14">
            <v>2340</v>
          </cell>
          <cell r="AF14">
            <v>2570</v>
          </cell>
          <cell r="AG14">
            <v>7610</v>
          </cell>
          <cell r="AH14">
            <v>4420</v>
          </cell>
          <cell r="AI14">
            <v>200</v>
          </cell>
        </row>
        <row r="15">
          <cell r="E15">
            <v>623.37199999999996</v>
          </cell>
          <cell r="F15">
            <v>623.69600000000003</v>
          </cell>
          <cell r="G15">
            <v>625.43399999999997</v>
          </cell>
          <cell r="H15">
            <v>624.65</v>
          </cell>
          <cell r="I15">
            <v>625.85299999999995</v>
          </cell>
          <cell r="J15">
            <v>623.88400000000001</v>
          </cell>
          <cell r="K15">
            <v>624.69299999999998</v>
          </cell>
          <cell r="L15">
            <v>627.04</v>
          </cell>
          <cell r="M15">
            <v>627.95600000000002</v>
          </cell>
          <cell r="N15">
            <v>627.34500000000003</v>
          </cell>
          <cell r="O15">
            <v>627.92700000000002</v>
          </cell>
          <cell r="P15">
            <v>629.47799999999995</v>
          </cell>
          <cell r="T15">
            <v>12</v>
          </cell>
          <cell r="U15" t="str">
            <v>Other</v>
          </cell>
          <cell r="X15">
            <v>1318.0475200000001</v>
          </cell>
          <cell r="Y15">
            <v>661.97400000000005</v>
          </cell>
          <cell r="Z15">
            <v>657.04200000000003</v>
          </cell>
          <cell r="AA15">
            <v>648.48</v>
          </cell>
          <cell r="AB15">
            <v>650.59400000000005</v>
          </cell>
          <cell r="AC15">
            <v>662.40200000000004</v>
          </cell>
          <cell r="AD15">
            <v>656.27300000000002</v>
          </cell>
          <cell r="AE15">
            <v>661.15200000000004</v>
          </cell>
          <cell r="AF15">
            <v>661.351</v>
          </cell>
          <cell r="AG15">
            <v>659.39799999999991</v>
          </cell>
          <cell r="AH15">
            <v>623.85400000000004</v>
          </cell>
          <cell r="AI15">
            <v>623.15599999999995</v>
          </cell>
        </row>
        <row r="16">
          <cell r="E16">
            <v>48277.297000000006</v>
          </cell>
          <cell r="F16">
            <v>41219.774000000005</v>
          </cell>
          <cell r="G16">
            <v>41724.148999999998</v>
          </cell>
          <cell r="H16">
            <v>46044.029000000002</v>
          </cell>
          <cell r="I16">
            <v>47163.839000000007</v>
          </cell>
          <cell r="J16">
            <v>57480.341999999997</v>
          </cell>
          <cell r="K16">
            <v>64242.376000000004</v>
          </cell>
          <cell r="L16">
            <v>62594.625999999997</v>
          </cell>
          <cell r="M16">
            <v>62188.627999999997</v>
          </cell>
          <cell r="N16">
            <v>54493.659</v>
          </cell>
          <cell r="O16">
            <v>55927.927000000003</v>
          </cell>
          <cell r="P16">
            <v>46712.755000000005</v>
          </cell>
          <cell r="T16">
            <v>13</v>
          </cell>
          <cell r="U16" t="str">
            <v>Total Deliveries</v>
          </cell>
          <cell r="X16">
            <v>54554.329519999999</v>
          </cell>
          <cell r="Y16">
            <v>51681.074999999997</v>
          </cell>
          <cell r="Z16">
            <v>45119.75</v>
          </cell>
          <cell r="AA16">
            <v>43174.769000000008</v>
          </cell>
          <cell r="AB16">
            <v>45403.697</v>
          </cell>
          <cell r="AC16">
            <v>61225.494000000006</v>
          </cell>
          <cell r="AD16">
            <v>64403.224999999999</v>
          </cell>
          <cell r="AE16">
            <v>66564.97</v>
          </cell>
          <cell r="AF16">
            <v>66810.209000000003</v>
          </cell>
          <cell r="AG16">
            <v>59218.205000000002</v>
          </cell>
          <cell r="AH16">
            <v>45351.176999999996</v>
          </cell>
          <cell r="AI16">
            <v>42788.08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E20">
            <v>31729</v>
          </cell>
          <cell r="F20">
            <v>31788</v>
          </cell>
          <cell r="G20">
            <v>31831</v>
          </cell>
          <cell r="H20">
            <v>31858</v>
          </cell>
          <cell r="I20">
            <v>31891</v>
          </cell>
          <cell r="J20">
            <v>31923</v>
          </cell>
          <cell r="K20">
            <v>31936</v>
          </cell>
          <cell r="L20">
            <v>31928</v>
          </cell>
          <cell r="M20">
            <v>31920</v>
          </cell>
          <cell r="N20">
            <v>31880</v>
          </cell>
          <cell r="O20">
            <v>31926</v>
          </cell>
          <cell r="P20">
            <v>31911</v>
          </cell>
          <cell r="T20">
            <v>17</v>
          </cell>
          <cell r="X20">
            <v>32498</v>
          </cell>
          <cell r="Y20">
            <v>31866</v>
          </cell>
          <cell r="Z20">
            <v>31941</v>
          </cell>
          <cell r="AA20">
            <v>32016</v>
          </cell>
          <cell r="AB20">
            <v>31979</v>
          </cell>
          <cell r="AC20">
            <v>32071</v>
          </cell>
          <cell r="AD20">
            <v>32072</v>
          </cell>
          <cell r="AE20">
            <v>31996</v>
          </cell>
          <cell r="AF20">
            <v>32017</v>
          </cell>
          <cell r="AG20">
            <v>31965</v>
          </cell>
          <cell r="AH20">
            <v>31964</v>
          </cell>
          <cell r="AI20">
            <v>31970</v>
          </cell>
        </row>
        <row r="21">
          <cell r="E21">
            <v>56588.516000000003</v>
          </cell>
          <cell r="F21">
            <v>50968.468000000001</v>
          </cell>
          <cell r="G21">
            <v>45312.502999999997</v>
          </cell>
          <cell r="H21">
            <v>42099.792000000001</v>
          </cell>
          <cell r="I21">
            <v>44527.938000000002</v>
          </cell>
          <cell r="J21">
            <v>53558.296000000002</v>
          </cell>
          <cell r="K21">
            <v>65700.703999999998</v>
          </cell>
          <cell r="L21">
            <v>64415.542000000001</v>
          </cell>
          <cell r="M21">
            <v>60348.042000000001</v>
          </cell>
          <cell r="N21">
            <v>47823.288999999997</v>
          </cell>
          <cell r="O21">
            <v>43869.203000000001</v>
          </cell>
          <cell r="P21">
            <v>45951.063999999998</v>
          </cell>
          <cell r="T21">
            <v>18</v>
          </cell>
          <cell r="X21">
            <v>56539.516000000003</v>
          </cell>
          <cell r="Y21">
            <v>56788.883999999998</v>
          </cell>
          <cell r="Z21">
            <v>51125.248</v>
          </cell>
          <cell r="AA21">
            <v>43851.938000000002</v>
          </cell>
          <cell r="AB21">
            <v>48397.271999999997</v>
          </cell>
          <cell r="AC21">
            <v>56706.097000000002</v>
          </cell>
          <cell r="AD21">
            <v>68382.289999999994</v>
          </cell>
          <cell r="AE21">
            <v>64587.491999999998</v>
          </cell>
          <cell r="AF21">
            <v>64503.875</v>
          </cell>
          <cell r="AG21">
            <v>51223.741000000002</v>
          </cell>
          <cell r="AH21">
            <v>46213.260999999999</v>
          </cell>
          <cell r="AI21">
            <v>50756.002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24372</v>
          </cell>
          <cell r="F27">
            <v>24397</v>
          </cell>
          <cell r="G27">
            <v>24437</v>
          </cell>
          <cell r="H27">
            <v>24468</v>
          </cell>
          <cell r="I27">
            <v>24494</v>
          </cell>
          <cell r="J27">
            <v>24510</v>
          </cell>
          <cell r="K27">
            <v>24516</v>
          </cell>
          <cell r="L27">
            <v>24532</v>
          </cell>
          <cell r="M27">
            <v>24549</v>
          </cell>
          <cell r="N27">
            <v>24562</v>
          </cell>
          <cell r="O27">
            <v>24568</v>
          </cell>
          <cell r="P27">
            <v>24574</v>
          </cell>
          <cell r="T27">
            <v>24</v>
          </cell>
          <cell r="U27" t="str">
            <v>Residential</v>
          </cell>
          <cell r="X27">
            <v>24140</v>
          </cell>
          <cell r="Y27">
            <v>24156</v>
          </cell>
          <cell r="Z27">
            <v>24167</v>
          </cell>
          <cell r="AA27">
            <v>24176</v>
          </cell>
          <cell r="AB27">
            <v>24198</v>
          </cell>
          <cell r="AC27">
            <v>24218</v>
          </cell>
          <cell r="AD27">
            <v>24241</v>
          </cell>
          <cell r="AE27">
            <v>24255</v>
          </cell>
          <cell r="AF27">
            <v>24268</v>
          </cell>
          <cell r="AG27">
            <v>24275</v>
          </cell>
          <cell r="AH27">
            <v>24283</v>
          </cell>
          <cell r="AI27">
            <v>24289</v>
          </cell>
        </row>
        <row r="28">
          <cell r="E28">
            <v>7441</v>
          </cell>
          <cell r="F28">
            <v>7448</v>
          </cell>
          <cell r="G28">
            <v>7446</v>
          </cell>
          <cell r="H28">
            <v>7439</v>
          </cell>
          <cell r="I28">
            <v>7438</v>
          </cell>
          <cell r="J28">
            <v>7438</v>
          </cell>
          <cell r="K28">
            <v>7437</v>
          </cell>
          <cell r="L28">
            <v>7440</v>
          </cell>
          <cell r="M28">
            <v>7443</v>
          </cell>
          <cell r="N28">
            <v>7445</v>
          </cell>
          <cell r="O28">
            <v>7448</v>
          </cell>
          <cell r="P28">
            <v>7450</v>
          </cell>
          <cell r="T28">
            <v>25</v>
          </cell>
          <cell r="U28" t="str">
            <v>Commercial</v>
          </cell>
          <cell r="X28">
            <v>7387</v>
          </cell>
          <cell r="Y28">
            <v>7387</v>
          </cell>
          <cell r="Z28">
            <v>7386</v>
          </cell>
          <cell r="AA28">
            <v>7386</v>
          </cell>
          <cell r="AB28">
            <v>7394</v>
          </cell>
          <cell r="AC28">
            <v>7398</v>
          </cell>
          <cell r="AD28">
            <v>7397</v>
          </cell>
          <cell r="AE28">
            <v>7398</v>
          </cell>
          <cell r="AF28">
            <v>7399</v>
          </cell>
          <cell r="AG28">
            <v>7401</v>
          </cell>
          <cell r="AH28">
            <v>7402</v>
          </cell>
          <cell r="AI28">
            <v>7404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E31">
            <v>31815</v>
          </cell>
          <cell r="F31">
            <v>31847</v>
          </cell>
          <cell r="G31">
            <v>31885</v>
          </cell>
          <cell r="H31">
            <v>31909</v>
          </cell>
          <cell r="I31">
            <v>31934</v>
          </cell>
          <cell r="J31">
            <v>31950</v>
          </cell>
          <cell r="K31">
            <v>31955</v>
          </cell>
          <cell r="L31">
            <v>31974</v>
          </cell>
          <cell r="M31">
            <v>31994</v>
          </cell>
          <cell r="N31">
            <v>32009</v>
          </cell>
          <cell r="O31">
            <v>32018</v>
          </cell>
          <cell r="P31">
            <v>32026</v>
          </cell>
          <cell r="T31">
            <v>28</v>
          </cell>
          <cell r="U31" t="str">
            <v>Total customers</v>
          </cell>
          <cell r="X31">
            <v>31529</v>
          </cell>
          <cell r="Y31">
            <v>31545</v>
          </cell>
          <cell r="Z31">
            <v>31555</v>
          </cell>
          <cell r="AA31">
            <v>31564</v>
          </cell>
          <cell r="AB31">
            <v>31594</v>
          </cell>
          <cell r="AC31">
            <v>31618</v>
          </cell>
          <cell r="AD31">
            <v>31640</v>
          </cell>
          <cell r="AE31">
            <v>31655</v>
          </cell>
          <cell r="AF31">
            <v>31669</v>
          </cell>
          <cell r="AG31">
            <v>31678</v>
          </cell>
          <cell r="AH31">
            <v>31687</v>
          </cell>
          <cell r="AI31">
            <v>31695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23380.919000000002</v>
          </cell>
          <cell r="F35">
            <v>42872.509000000005</v>
          </cell>
          <cell r="G35">
            <v>61326.3</v>
          </cell>
          <cell r="H35">
            <v>81672.509000000005</v>
          </cell>
          <cell r="I35">
            <v>102795.212</v>
          </cell>
          <cell r="J35">
            <v>130624.344</v>
          </cell>
          <cell r="K35">
            <v>163627.28899999999</v>
          </cell>
          <cell r="L35">
            <v>194502.29300000001</v>
          </cell>
          <cell r="M35">
            <v>224512.91700000002</v>
          </cell>
          <cell r="N35">
            <v>250512.63900000002</v>
          </cell>
          <cell r="O35">
            <v>270187.08800000005</v>
          </cell>
          <cell r="P35">
            <v>291510.49900000007</v>
          </cell>
          <cell r="T35">
            <v>32</v>
          </cell>
          <cell r="U35" t="str">
            <v>Residential</v>
          </cell>
          <cell r="X35">
            <v>26324.956999999999</v>
          </cell>
          <cell r="Y35">
            <v>52765.510999999999</v>
          </cell>
          <cell r="Z35">
            <v>73922.89499999999</v>
          </cell>
          <cell r="AA35">
            <v>92206.020999999993</v>
          </cell>
          <cell r="AB35">
            <v>112214.723</v>
          </cell>
          <cell r="AC35">
            <v>141794.50399999999</v>
          </cell>
          <cell r="AD35">
            <v>175764.35399999999</v>
          </cell>
          <cell r="AE35">
            <v>209065.10199999998</v>
          </cell>
          <cell r="AF35">
            <v>241690.761</v>
          </cell>
          <cell r="AG35">
            <v>266044.95799999998</v>
          </cell>
          <cell r="AH35">
            <v>283947.64600000001</v>
          </cell>
          <cell r="AI35">
            <v>303653.59399999998</v>
          </cell>
        </row>
        <row r="36">
          <cell r="E36">
            <v>22683.006000000001</v>
          </cell>
          <cell r="F36">
            <v>43547.494000000006</v>
          </cell>
          <cell r="G36">
            <v>64862.418000000005</v>
          </cell>
          <cell r="H36">
            <v>88085.588000000003</v>
          </cell>
          <cell r="I36">
            <v>111410.871</v>
          </cell>
          <cell r="J36">
            <v>139628.19699999999</v>
          </cell>
          <cell r="K36">
            <v>169622.935</v>
          </cell>
          <cell r="L36">
            <v>198765.51699999999</v>
          </cell>
          <cell r="M36">
            <v>228545.565</v>
          </cell>
          <cell r="N36">
            <v>255682.15700000001</v>
          </cell>
          <cell r="O36">
            <v>279717.70799999998</v>
          </cell>
          <cell r="P36">
            <v>301667.57399999996</v>
          </cell>
          <cell r="T36">
            <v>33</v>
          </cell>
          <cell r="U36" t="str">
            <v>Commercial</v>
          </cell>
          <cell r="X36">
            <v>24341.325000000001</v>
          </cell>
          <cell r="Y36">
            <v>46199.872000000003</v>
          </cell>
          <cell r="Z36">
            <v>68115.195999999996</v>
          </cell>
          <cell r="AA36">
            <v>90918.358999999997</v>
          </cell>
          <cell r="AB36">
            <v>114452.76</v>
          </cell>
          <cell r="AC36">
            <v>143186.071</v>
          </cell>
          <cell r="AD36">
            <v>171983.17300000001</v>
          </cell>
          <cell r="AE36">
            <v>202246.24300000002</v>
          </cell>
          <cell r="AF36">
            <v>233199.44200000001</v>
          </cell>
          <cell r="AG36">
            <v>259794.05200000003</v>
          </cell>
          <cell r="AH36">
            <v>282198.68700000003</v>
          </cell>
          <cell r="AI36">
            <v>304457.66300000006</v>
          </cell>
        </row>
        <row r="37">
          <cell r="E37">
            <v>1590</v>
          </cell>
          <cell r="F37">
            <v>1830</v>
          </cell>
          <cell r="G37">
            <v>3160</v>
          </cell>
          <cell r="H37">
            <v>5010</v>
          </cell>
          <cell r="I37">
            <v>7100</v>
          </cell>
          <cell r="J37">
            <v>7910</v>
          </cell>
          <cell r="K37">
            <v>8530</v>
          </cell>
          <cell r="L37">
            <v>10480</v>
          </cell>
          <cell r="M37">
            <v>12250</v>
          </cell>
          <cell r="N37">
            <v>12980</v>
          </cell>
          <cell r="O37">
            <v>24570</v>
          </cell>
          <cell r="P37">
            <v>27380</v>
          </cell>
          <cell r="T37">
            <v>34</v>
          </cell>
          <cell r="U37" t="str">
            <v xml:space="preserve">Industrial </v>
          </cell>
          <cell r="X37">
            <v>2570</v>
          </cell>
          <cell r="Y37">
            <v>5290</v>
          </cell>
          <cell r="Z37">
            <v>6680</v>
          </cell>
          <cell r="AA37">
            <v>8120</v>
          </cell>
          <cell r="AB37">
            <v>9330</v>
          </cell>
          <cell r="AC37">
            <v>11580</v>
          </cell>
          <cell r="AD37">
            <v>12560</v>
          </cell>
          <cell r="AE37">
            <v>14900</v>
          </cell>
          <cell r="AF37">
            <v>17470</v>
          </cell>
          <cell r="AG37">
            <v>25080</v>
          </cell>
          <cell r="AH37">
            <v>29500</v>
          </cell>
          <cell r="AI37">
            <v>29700</v>
          </cell>
        </row>
        <row r="38">
          <cell r="E38">
            <v>623.37199999999996</v>
          </cell>
          <cell r="F38">
            <v>1247.068</v>
          </cell>
          <cell r="G38">
            <v>1872.502</v>
          </cell>
          <cell r="H38">
            <v>2497.152</v>
          </cell>
          <cell r="I38">
            <v>3123.0050000000001</v>
          </cell>
          <cell r="J38">
            <v>3746.8890000000001</v>
          </cell>
          <cell r="K38">
            <v>4371.5820000000003</v>
          </cell>
          <cell r="L38">
            <v>4998.6220000000003</v>
          </cell>
          <cell r="M38">
            <v>5626.5780000000004</v>
          </cell>
          <cell r="N38">
            <v>6253.9230000000007</v>
          </cell>
          <cell r="O38">
            <v>6881.85</v>
          </cell>
          <cell r="P38">
            <v>7511.3280000000004</v>
          </cell>
          <cell r="T38">
            <v>35</v>
          </cell>
          <cell r="U38" t="str">
            <v>Other</v>
          </cell>
          <cell r="X38">
            <v>1318.0475200000001</v>
          </cell>
          <cell r="Y38">
            <v>1980.0215200000002</v>
          </cell>
          <cell r="Z38">
            <v>2637.0635200000002</v>
          </cell>
          <cell r="AA38">
            <v>3285.5435200000002</v>
          </cell>
          <cell r="AB38">
            <v>3936.1375200000002</v>
          </cell>
          <cell r="AC38">
            <v>4598.5395200000003</v>
          </cell>
          <cell r="AD38">
            <v>5254.8125200000004</v>
          </cell>
          <cell r="AE38">
            <v>5915.9645200000004</v>
          </cell>
          <cell r="AF38">
            <v>6577.3155200000001</v>
          </cell>
          <cell r="AG38">
            <v>7236.7135200000002</v>
          </cell>
          <cell r="AH38">
            <v>7860.5675200000005</v>
          </cell>
          <cell r="AI38">
            <v>8483.7235199999996</v>
          </cell>
        </row>
        <row r="39">
          <cell r="E39">
            <v>48277.297000000006</v>
          </cell>
          <cell r="F39">
            <v>89497.071000000011</v>
          </cell>
          <cell r="G39">
            <v>131221.22</v>
          </cell>
          <cell r="H39">
            <v>177265.24900000001</v>
          </cell>
          <cell r="I39">
            <v>224429.08799999999</v>
          </cell>
          <cell r="J39">
            <v>281909.43</v>
          </cell>
          <cell r="K39">
            <v>346151.80599999998</v>
          </cell>
          <cell r="L39">
            <v>408746.43199999997</v>
          </cell>
          <cell r="M39">
            <v>470935.06</v>
          </cell>
          <cell r="N39">
            <v>525428.71900000004</v>
          </cell>
          <cell r="O39">
            <v>581356.64600000007</v>
          </cell>
          <cell r="P39">
            <v>628069.40100000007</v>
          </cell>
          <cell r="T39">
            <v>36</v>
          </cell>
          <cell r="U39" t="str">
            <v>Total Deliveries</v>
          </cell>
          <cell r="X39">
            <v>54554.329519999999</v>
          </cell>
          <cell r="Y39">
            <v>106235.40452</v>
          </cell>
          <cell r="Z39">
            <v>151355.15451999998</v>
          </cell>
          <cell r="AA39">
            <v>194529.92352000001</v>
          </cell>
          <cell r="AB39">
            <v>239933.62052</v>
          </cell>
          <cell r="AC39">
            <v>301159.11451999994</v>
          </cell>
          <cell r="AD39">
            <v>365562.33951999998</v>
          </cell>
          <cell r="AE39">
            <v>432127.30951999995</v>
          </cell>
          <cell r="AF39">
            <v>498937.51851999998</v>
          </cell>
          <cell r="AG39">
            <v>558155.72352</v>
          </cell>
          <cell r="AH39">
            <v>603506.90052000014</v>
          </cell>
          <cell r="AI39">
            <v>646294.98051999998</v>
          </cell>
        </row>
        <row r="40">
          <cell r="T40">
            <v>37</v>
          </cell>
        </row>
        <row r="43"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E44">
            <v>31729</v>
          </cell>
          <cell r="F44">
            <v>31759</v>
          </cell>
          <cell r="G44">
            <v>31783</v>
          </cell>
          <cell r="H44">
            <v>31802</v>
          </cell>
          <cell r="I44">
            <v>31819</v>
          </cell>
          <cell r="J44">
            <v>31837</v>
          </cell>
          <cell r="K44">
            <v>31851</v>
          </cell>
          <cell r="L44">
            <v>31861</v>
          </cell>
          <cell r="M44">
            <v>31867</v>
          </cell>
          <cell r="N44">
            <v>31868</v>
          </cell>
          <cell r="O44">
            <v>31874</v>
          </cell>
          <cell r="P44">
            <v>31877</v>
          </cell>
          <cell r="T44">
            <v>39</v>
          </cell>
          <cell r="X44">
            <v>32498</v>
          </cell>
          <cell r="Y44">
            <v>32182</v>
          </cell>
          <cell r="Z44">
            <v>32102</v>
          </cell>
          <cell r="AA44">
            <v>32080</v>
          </cell>
          <cell r="AB44">
            <v>32060</v>
          </cell>
          <cell r="AC44">
            <v>32062</v>
          </cell>
          <cell r="AD44">
            <v>32063</v>
          </cell>
          <cell r="AE44">
            <v>32055</v>
          </cell>
          <cell r="AF44">
            <v>32051</v>
          </cell>
          <cell r="AG44">
            <v>32042</v>
          </cell>
          <cell r="AH44">
            <v>32035</v>
          </cell>
          <cell r="AI44">
            <v>32030</v>
          </cell>
        </row>
        <row r="45">
          <cell r="E45">
            <v>56588.516000000003</v>
          </cell>
          <cell r="F45">
            <v>107556.984</v>
          </cell>
          <cell r="G45">
            <v>152869.48699999999</v>
          </cell>
          <cell r="H45">
            <v>194969.27899999998</v>
          </cell>
          <cell r="I45">
            <v>239497.21699999998</v>
          </cell>
          <cell r="J45">
            <v>293055.51299999998</v>
          </cell>
          <cell r="K45">
            <v>358756.21699999995</v>
          </cell>
          <cell r="L45">
            <v>423171.75899999996</v>
          </cell>
          <cell r="M45">
            <v>483519.80099999998</v>
          </cell>
          <cell r="N45">
            <v>531343.09</v>
          </cell>
          <cell r="O45">
            <v>575212.29299999995</v>
          </cell>
          <cell r="P45">
            <v>621163.35699999996</v>
          </cell>
          <cell r="T45">
            <v>40</v>
          </cell>
          <cell r="X45">
            <v>56539.516000000003</v>
          </cell>
          <cell r="Y45">
            <v>113328.4</v>
          </cell>
          <cell r="Z45">
            <v>164453.64799999999</v>
          </cell>
          <cell r="AA45">
            <v>208305.58599999998</v>
          </cell>
          <cell r="AB45">
            <v>256702.85799999998</v>
          </cell>
          <cell r="AC45">
            <v>313408.95499999996</v>
          </cell>
          <cell r="AD45">
            <v>381791.24499999994</v>
          </cell>
          <cell r="AE45">
            <v>446378.73699999996</v>
          </cell>
          <cell r="AF45">
            <v>510882.61199999996</v>
          </cell>
          <cell r="AG45">
            <v>562106.353</v>
          </cell>
          <cell r="AH45">
            <v>608319.61400000006</v>
          </cell>
          <cell r="AI45">
            <v>659075.61600000004</v>
          </cell>
        </row>
        <row r="47">
          <cell r="G47" t="str">
            <v>Q1 2017</v>
          </cell>
          <cell r="J47" t="str">
            <v>Q2 2017</v>
          </cell>
          <cell r="M47" t="str">
            <v>Q3 2017</v>
          </cell>
          <cell r="P47" t="str">
            <v>Q4 2017</v>
          </cell>
        </row>
        <row r="48">
          <cell r="G48">
            <v>24437</v>
          </cell>
          <cell r="J48">
            <v>24582</v>
          </cell>
          <cell r="M48">
            <v>24628</v>
          </cell>
          <cell r="P48">
            <v>24648</v>
          </cell>
        </row>
        <row r="49">
          <cell r="G49">
            <v>7446</v>
          </cell>
          <cell r="J49">
            <v>7429</v>
          </cell>
          <cell r="M49">
            <v>7455</v>
          </cell>
          <cell r="P49">
            <v>7468</v>
          </cell>
        </row>
        <row r="50">
          <cell r="G50">
            <v>2</v>
          </cell>
          <cell r="J50">
            <v>2</v>
          </cell>
          <cell r="M50">
            <v>2</v>
          </cell>
          <cell r="P50">
            <v>2</v>
          </cell>
        </row>
        <row r="51">
          <cell r="G51">
            <v>0</v>
          </cell>
          <cell r="J51">
            <v>0</v>
          </cell>
          <cell r="M51">
            <v>0</v>
          </cell>
          <cell r="P51">
            <v>0</v>
          </cell>
        </row>
        <row r="52">
          <cell r="G52">
            <v>31885</v>
          </cell>
          <cell r="J52">
            <v>32013</v>
          </cell>
          <cell r="M52">
            <v>32085</v>
          </cell>
          <cell r="P52">
            <v>32118</v>
          </cell>
        </row>
        <row r="55">
          <cell r="G55">
            <v>61326</v>
          </cell>
          <cell r="J55">
            <v>69298</v>
          </cell>
          <cell r="M55">
            <v>93889</v>
          </cell>
          <cell r="P55">
            <v>66998</v>
          </cell>
        </row>
        <row r="56">
          <cell r="G56">
            <v>64862</v>
          </cell>
          <cell r="J56">
            <v>74766</v>
          </cell>
          <cell r="M56">
            <v>88917</v>
          </cell>
          <cell r="P56">
            <v>73122</v>
          </cell>
        </row>
        <row r="57">
          <cell r="G57">
            <v>3160</v>
          </cell>
          <cell r="J57">
            <v>4750</v>
          </cell>
          <cell r="M57">
            <v>4340</v>
          </cell>
          <cell r="P57">
            <v>15130</v>
          </cell>
        </row>
        <row r="58">
          <cell r="G58">
            <v>1873</v>
          </cell>
          <cell r="J58">
            <v>1874</v>
          </cell>
          <cell r="M58">
            <v>1880</v>
          </cell>
          <cell r="P58">
            <v>1885</v>
          </cell>
        </row>
        <row r="59">
          <cell r="G59">
            <v>131221</v>
          </cell>
          <cell r="J59">
            <v>150688</v>
          </cell>
          <cell r="M59">
            <v>189026</v>
          </cell>
          <cell r="P59">
            <v>157135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17</v>
          </cell>
          <cell r="D7">
            <v>207</v>
          </cell>
          <cell r="E7">
            <v>17</v>
          </cell>
          <cell r="F7">
            <v>16</v>
          </cell>
          <cell r="G7">
            <v>17</v>
          </cell>
          <cell r="H7">
            <v>16</v>
          </cell>
          <cell r="I7">
            <v>16</v>
          </cell>
          <cell r="J7">
            <v>18</v>
          </cell>
          <cell r="K7">
            <v>18</v>
          </cell>
          <cell r="L7">
            <v>18</v>
          </cell>
          <cell r="M7">
            <v>18</v>
          </cell>
          <cell r="N7">
            <v>18</v>
          </cell>
          <cell r="O7">
            <v>18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18</v>
          </cell>
          <cell r="W7">
            <v>215</v>
          </cell>
          <cell r="X7">
            <v>22</v>
          </cell>
          <cell r="Y7">
            <v>17</v>
          </cell>
          <cell r="Z7">
            <v>17</v>
          </cell>
          <cell r="AA7">
            <v>17</v>
          </cell>
          <cell r="AB7">
            <v>18</v>
          </cell>
          <cell r="AC7">
            <v>17</v>
          </cell>
          <cell r="AD7">
            <v>18</v>
          </cell>
          <cell r="AE7">
            <v>17</v>
          </cell>
          <cell r="AF7">
            <v>19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14</v>
          </cell>
          <cell r="D9">
            <v>171</v>
          </cell>
          <cell r="E9">
            <v>14</v>
          </cell>
          <cell r="F9">
            <v>13</v>
          </cell>
          <cell r="G9">
            <v>14</v>
          </cell>
          <cell r="H9">
            <v>13</v>
          </cell>
          <cell r="I9">
            <v>13</v>
          </cell>
          <cell r="J9">
            <v>15</v>
          </cell>
          <cell r="K9">
            <v>15</v>
          </cell>
          <cell r="L9">
            <v>15</v>
          </cell>
          <cell r="M9">
            <v>15</v>
          </cell>
          <cell r="N9">
            <v>15</v>
          </cell>
          <cell r="O9">
            <v>15</v>
          </cell>
          <cell r="P9">
            <v>14</v>
          </cell>
          <cell r="T9">
            <v>6</v>
          </cell>
          <cell r="U9" t="str">
            <v>Total customers</v>
          </cell>
          <cell r="V9">
            <v>15</v>
          </cell>
          <cell r="W9">
            <v>179</v>
          </cell>
          <cell r="X9">
            <v>19</v>
          </cell>
          <cell r="Y9">
            <v>14</v>
          </cell>
          <cell r="Z9">
            <v>14</v>
          </cell>
          <cell r="AA9">
            <v>14</v>
          </cell>
          <cell r="AB9">
            <v>15</v>
          </cell>
          <cell r="AC9">
            <v>14</v>
          </cell>
          <cell r="AD9">
            <v>15</v>
          </cell>
          <cell r="AE9">
            <v>14</v>
          </cell>
          <cell r="AF9">
            <v>16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(2017)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50296416</v>
          </cell>
          <cell r="E14">
            <v>5122614</v>
          </cell>
          <cell r="F14">
            <v>4447121</v>
          </cell>
          <cell r="G14">
            <v>4925992</v>
          </cell>
          <cell r="H14">
            <v>2823107</v>
          </cell>
          <cell r="I14">
            <v>3886464</v>
          </cell>
          <cell r="J14">
            <v>3825043</v>
          </cell>
          <cell r="K14">
            <v>3904214</v>
          </cell>
          <cell r="L14">
            <v>4010738</v>
          </cell>
          <cell r="M14">
            <v>4091180</v>
          </cell>
          <cell r="N14">
            <v>4085739</v>
          </cell>
          <cell r="O14">
            <v>3880900</v>
          </cell>
          <cell r="P14">
            <v>5293304</v>
          </cell>
          <cell r="T14">
            <v>11</v>
          </cell>
          <cell r="U14" t="str">
            <v>Transportation firm</v>
          </cell>
          <cell r="X14">
            <v>5120571</v>
          </cell>
          <cell r="Y14">
            <v>4898898</v>
          </cell>
          <cell r="Z14">
            <v>4430208</v>
          </cell>
          <cell r="AA14">
            <v>4232997</v>
          </cell>
          <cell r="AB14">
            <v>3597487</v>
          </cell>
          <cell r="AC14">
            <v>3605282</v>
          </cell>
          <cell r="AD14">
            <v>4338435</v>
          </cell>
          <cell r="AE14">
            <v>4313372</v>
          </cell>
          <cell r="AF14">
            <v>3919457</v>
          </cell>
          <cell r="AG14">
            <v>4305707</v>
          </cell>
          <cell r="AH14">
            <v>3539559</v>
          </cell>
          <cell r="AI14">
            <v>4883139</v>
          </cell>
        </row>
        <row r="15">
          <cell r="A15">
            <v>12</v>
          </cell>
          <cell r="B15" t="str">
            <v>Interruptible transportation</v>
          </cell>
          <cell r="D15">
            <v>1344320</v>
          </cell>
          <cell r="E15">
            <v>142031</v>
          </cell>
          <cell r="F15">
            <v>66447</v>
          </cell>
          <cell r="G15">
            <v>25037</v>
          </cell>
          <cell r="H15">
            <v>26041</v>
          </cell>
          <cell r="I15">
            <v>72552</v>
          </cell>
          <cell r="J15">
            <v>81262</v>
          </cell>
          <cell r="K15">
            <v>90847</v>
          </cell>
          <cell r="L15">
            <v>136911</v>
          </cell>
          <cell r="M15">
            <v>465001</v>
          </cell>
          <cell r="N15">
            <v>96565</v>
          </cell>
          <cell r="O15">
            <v>49723</v>
          </cell>
          <cell r="P15">
            <v>91903</v>
          </cell>
          <cell r="T15">
            <v>12</v>
          </cell>
          <cell r="U15" t="str">
            <v>Interruptible transporation</v>
          </cell>
          <cell r="X15">
            <v>158171</v>
          </cell>
          <cell r="Y15">
            <v>119137</v>
          </cell>
          <cell r="Z15">
            <v>176962</v>
          </cell>
          <cell r="AA15">
            <v>81823</v>
          </cell>
          <cell r="AB15">
            <v>91948</v>
          </cell>
          <cell r="AC15">
            <v>98113</v>
          </cell>
          <cell r="AD15">
            <v>373395</v>
          </cell>
          <cell r="AE15">
            <v>330847</v>
          </cell>
          <cell r="AF15">
            <v>259547</v>
          </cell>
          <cell r="AG15">
            <v>113421</v>
          </cell>
          <cell r="AH15">
            <v>48219</v>
          </cell>
          <cell r="AI15">
            <v>45148</v>
          </cell>
        </row>
        <row r="16">
          <cell r="A16">
            <v>13</v>
          </cell>
          <cell r="B16" t="str">
            <v>Less: ESNG to DE, MD &amp; SP</v>
          </cell>
          <cell r="D16">
            <v>-11373352</v>
          </cell>
          <cell r="E16">
            <v>-1569792</v>
          </cell>
          <cell r="F16">
            <v>-1205900</v>
          </cell>
          <cell r="G16">
            <v>-1391398</v>
          </cell>
          <cell r="H16">
            <v>-720462</v>
          </cell>
          <cell r="I16">
            <v>-662446</v>
          </cell>
          <cell r="J16">
            <v>-554613</v>
          </cell>
          <cell r="K16">
            <v>-516867</v>
          </cell>
          <cell r="L16">
            <v>-580117</v>
          </cell>
          <cell r="M16">
            <v>-612571</v>
          </cell>
          <cell r="N16">
            <v>-721278</v>
          </cell>
          <cell r="O16">
            <v>-1128586</v>
          </cell>
          <cell r="P16">
            <v>-1709322</v>
          </cell>
          <cell r="T16">
            <v>13</v>
          </cell>
          <cell r="U16" t="str">
            <v>Less: ESNG to DE, MD and SP</v>
          </cell>
          <cell r="X16">
            <v>-1696097</v>
          </cell>
          <cell r="Y16">
            <v>-1469209</v>
          </cell>
          <cell r="Z16">
            <v>-1299910</v>
          </cell>
          <cell r="AA16">
            <v>-873655</v>
          </cell>
          <cell r="AB16">
            <v>-682658</v>
          </cell>
          <cell r="AC16">
            <v>-550733</v>
          </cell>
          <cell r="AD16">
            <v>-511945</v>
          </cell>
          <cell r="AE16">
            <v>-545478</v>
          </cell>
          <cell r="AF16">
            <v>-572139</v>
          </cell>
          <cell r="AG16">
            <v>-761874</v>
          </cell>
          <cell r="AH16">
            <v>-1011573</v>
          </cell>
          <cell r="AI16">
            <v>-1514939</v>
          </cell>
        </row>
        <row r="17">
          <cell r="A17">
            <v>14</v>
          </cell>
          <cell r="B17" t="str">
            <v>Total Deliveries</v>
          </cell>
          <cell r="D17">
            <v>40267384</v>
          </cell>
          <cell r="E17">
            <v>3694853</v>
          </cell>
          <cell r="F17">
            <v>3307668</v>
          </cell>
          <cell r="G17">
            <v>3559631</v>
          </cell>
          <cell r="H17">
            <v>2128686</v>
          </cell>
          <cell r="I17">
            <v>3296570</v>
          </cell>
          <cell r="J17">
            <v>3351692</v>
          </cell>
          <cell r="K17">
            <v>3478194</v>
          </cell>
          <cell r="L17">
            <v>3567532</v>
          </cell>
          <cell r="M17">
            <v>3943610</v>
          </cell>
          <cell r="N17">
            <v>3461026</v>
          </cell>
          <cell r="O17">
            <v>2802037</v>
          </cell>
          <cell r="P17">
            <v>3675885</v>
          </cell>
          <cell r="T17">
            <v>14</v>
          </cell>
          <cell r="U17" t="str">
            <v>Total Deliveries</v>
          </cell>
          <cell r="X17">
            <v>3582645</v>
          </cell>
          <cell r="Y17">
            <v>3548826</v>
          </cell>
          <cell r="Z17">
            <v>3307260</v>
          </cell>
          <cell r="AA17">
            <v>3441165</v>
          </cell>
          <cell r="AB17">
            <v>3006777</v>
          </cell>
          <cell r="AC17">
            <v>3152662</v>
          </cell>
          <cell r="AD17">
            <v>4199885</v>
          </cell>
          <cell r="AE17">
            <v>4098741</v>
          </cell>
          <cell r="AF17">
            <v>3606865</v>
          </cell>
          <cell r="AG17">
            <v>3657254</v>
          </cell>
          <cell r="AH17">
            <v>2576205</v>
          </cell>
          <cell r="AI17">
            <v>3413348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1.05027</v>
          </cell>
          <cell r="F20">
            <v>1.04891</v>
          </cell>
          <cell r="G20">
            <v>1.04809</v>
          </cell>
          <cell r="H20">
            <v>1.0459099999999999</v>
          </cell>
          <cell r="I20">
            <v>1.0445599999999999</v>
          </cell>
          <cell r="J20">
            <v>1.0474600000000001</v>
          </cell>
          <cell r="K20">
            <v>1.04823</v>
          </cell>
          <cell r="L20">
            <v>1.04386</v>
          </cell>
          <cell r="M20">
            <v>1.04697</v>
          </cell>
          <cell r="N20">
            <v>1.04914</v>
          </cell>
          <cell r="O20">
            <v>1.0493600000000001</v>
          </cell>
          <cell r="P20">
            <v>1.05077</v>
          </cell>
          <cell r="T20">
            <v>17</v>
          </cell>
          <cell r="X20">
            <v>1.0596099999999999</v>
          </cell>
          <cell r="Y20">
            <v>1.05722</v>
          </cell>
          <cell r="Z20">
            <v>1.0540400000000001</v>
          </cell>
          <cell r="AA20">
            <v>1.0559400000000001</v>
          </cell>
          <cell r="AB20">
            <v>1.0512300000000001</v>
          </cell>
          <cell r="AC20">
            <v>1.0520799999999999</v>
          </cell>
          <cell r="AD20">
            <v>1.0566500000000001</v>
          </cell>
          <cell r="AE20">
            <v>1.05559</v>
          </cell>
          <cell r="AF20">
            <v>1.0542199999999999</v>
          </cell>
          <cell r="AG20">
            <v>1.05263</v>
          </cell>
          <cell r="AH20">
            <v>1.05226</v>
          </cell>
          <cell r="AI20">
            <v>1.05254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52710105.79366</v>
          </cell>
          <cell r="E22">
            <v>5380128</v>
          </cell>
          <cell r="F22">
            <v>4664630</v>
          </cell>
          <cell r="G22">
            <v>5162883</v>
          </cell>
          <cell r="H22">
            <v>2952716</v>
          </cell>
          <cell r="I22">
            <v>4059644.8358399998</v>
          </cell>
          <cell r="J22">
            <v>4006579.5407800004</v>
          </cell>
          <cell r="K22">
            <v>4092514.2412200002</v>
          </cell>
          <cell r="L22">
            <v>4186648.9686799999</v>
          </cell>
          <cell r="M22">
            <v>4283342.7245999994</v>
          </cell>
          <cell r="N22">
            <v>4286512.2144599995</v>
          </cell>
          <cell r="O22">
            <v>4072461.2240000004</v>
          </cell>
          <cell r="P22">
            <v>5562045.0440799994</v>
          </cell>
          <cell r="T22">
            <v>19</v>
          </cell>
          <cell r="U22" t="str">
            <v>Transportation firm</v>
          </cell>
          <cell r="X22">
            <v>5425808.2373099998</v>
          </cell>
          <cell r="Y22">
            <v>5179212.9435600005</v>
          </cell>
          <cell r="Z22">
            <v>4669616.4403200001</v>
          </cell>
          <cell r="AA22">
            <v>4469790.8521800004</v>
          </cell>
          <cell r="AB22">
            <v>3781786.2590100006</v>
          </cell>
          <cell r="AC22">
            <v>3793045.0865599997</v>
          </cell>
          <cell r="AD22">
            <v>4584207.3427500008</v>
          </cell>
          <cell r="AE22">
            <v>4553152.3494800003</v>
          </cell>
          <cell r="AF22">
            <v>4131969.9585399996</v>
          </cell>
          <cell r="AG22">
            <v>4532316.35941</v>
          </cell>
          <cell r="AH22">
            <v>3724536.3533399999</v>
          </cell>
          <cell r="AI22">
            <v>5139699.1230600001</v>
          </cell>
        </row>
        <row r="23">
          <cell r="A23">
            <v>20</v>
          </cell>
          <cell r="B23" t="str">
            <v>Interruptible transportation</v>
          </cell>
          <cell r="D23">
            <v>1408292.6225700001</v>
          </cell>
          <cell r="E23">
            <v>149171</v>
          </cell>
          <cell r="F23">
            <v>69697</v>
          </cell>
          <cell r="G23">
            <v>26241</v>
          </cell>
          <cell r="H23">
            <v>27237</v>
          </cell>
          <cell r="I23">
            <v>75784.917119999998</v>
          </cell>
          <cell r="J23">
            <v>85118.694520000005</v>
          </cell>
          <cell r="K23">
            <v>95228.550810000001</v>
          </cell>
          <cell r="L23">
            <v>142915.91646000001</v>
          </cell>
          <cell r="M23">
            <v>486842.09696999996</v>
          </cell>
          <cell r="N23">
            <v>101310.2041</v>
          </cell>
          <cell r="O23">
            <v>52177.327280000005</v>
          </cell>
          <cell r="P23">
            <v>96568.915309999997</v>
          </cell>
          <cell r="T23">
            <v>20</v>
          </cell>
          <cell r="U23" t="str">
            <v>Interruptible transportation</v>
          </cell>
          <cell r="X23">
            <v>167599.57330999998</v>
          </cell>
          <cell r="Y23">
            <v>125954.01914</v>
          </cell>
          <cell r="Z23">
            <v>186525.02648000003</v>
          </cell>
          <cell r="AA23">
            <v>86400.178620000006</v>
          </cell>
          <cell r="AB23">
            <v>96658.496040000013</v>
          </cell>
          <cell r="AC23">
            <v>103222.72503999999</v>
          </cell>
          <cell r="AD23">
            <v>394547.82675000001</v>
          </cell>
          <cell r="AE23">
            <v>349238.78473000001</v>
          </cell>
          <cell r="AF23">
            <v>273619.63834</v>
          </cell>
          <cell r="AG23">
            <v>119390.34723</v>
          </cell>
          <cell r="AH23">
            <v>50738.924939999997</v>
          </cell>
          <cell r="AI23">
            <v>47520.075920000003</v>
          </cell>
        </row>
        <row r="24">
          <cell r="A24">
            <v>21</v>
          </cell>
          <cell r="B24" t="str">
            <v>Less: ESNG to DE, MD &amp; SP</v>
          </cell>
          <cell r="D24">
            <v>-11924152.297459999</v>
          </cell>
          <cell r="E24">
            <v>-1648705</v>
          </cell>
          <cell r="F24">
            <v>-1264881</v>
          </cell>
          <cell r="G24">
            <v>-1458310</v>
          </cell>
          <cell r="H24">
            <v>-753538</v>
          </cell>
          <cell r="I24">
            <v>-691964.59375999996</v>
          </cell>
          <cell r="J24">
            <v>-580934.93298000004</v>
          </cell>
          <cell r="K24">
            <v>-541795.49540999997</v>
          </cell>
          <cell r="L24">
            <v>-605560.93162000005</v>
          </cell>
          <cell r="M24">
            <v>-641343.45987000002</v>
          </cell>
          <cell r="N24">
            <v>-756721.60092</v>
          </cell>
          <cell r="O24">
            <v>-1184293.00496</v>
          </cell>
          <cell r="P24">
            <v>-1796104.2779399999</v>
          </cell>
          <cell r="T24">
            <v>21</v>
          </cell>
          <cell r="U24" t="str">
            <v>Less: ESNG to DE, MD and SP</v>
          </cell>
          <cell r="X24">
            <v>-1797201.3421699998</v>
          </cell>
          <cell r="Y24">
            <v>-1553277.13898</v>
          </cell>
          <cell r="Z24">
            <v>-1370157.1364000002</v>
          </cell>
          <cell r="AA24">
            <v>-922527.2607000001</v>
          </cell>
          <cell r="AB24">
            <v>-717630.56934000005</v>
          </cell>
          <cell r="AC24">
            <v>-579415.17463999998</v>
          </cell>
          <cell r="AD24">
            <v>-540946.68425000005</v>
          </cell>
          <cell r="AE24">
            <v>-575801.12202000001</v>
          </cell>
          <cell r="AF24">
            <v>-603160.37657999992</v>
          </cell>
          <cell r="AG24">
            <v>-801971.42862000002</v>
          </cell>
          <cell r="AH24">
            <v>-1064437.80498</v>
          </cell>
          <cell r="AI24">
            <v>-1594533.89506</v>
          </cell>
        </row>
        <row r="25">
          <cell r="A25">
            <v>22</v>
          </cell>
          <cell r="B25" t="str">
            <v>Total Deliveries</v>
          </cell>
          <cell r="D25">
            <v>42194246.118770003</v>
          </cell>
          <cell r="E25">
            <v>3880594</v>
          </cell>
          <cell r="F25">
            <v>3469446</v>
          </cell>
          <cell r="G25">
            <v>3730814</v>
          </cell>
          <cell r="H25">
            <v>2226415</v>
          </cell>
          <cell r="I25">
            <v>3443465.1591999996</v>
          </cell>
          <cell r="J25">
            <v>3510763.3023200002</v>
          </cell>
          <cell r="K25">
            <v>3645947.2966200002</v>
          </cell>
          <cell r="L25">
            <v>3724003.95352</v>
          </cell>
          <cell r="M25">
            <v>4128841.3616999998</v>
          </cell>
          <cell r="N25">
            <v>3631100.8176399991</v>
          </cell>
          <cell r="O25">
            <v>2940345.5463200002</v>
          </cell>
          <cell r="P25">
            <v>3862509.6814499996</v>
          </cell>
          <cell r="T25">
            <v>22</v>
          </cell>
          <cell r="U25" t="str">
            <v>Total Deliveries</v>
          </cell>
          <cell r="X25">
            <v>3796206.4684499996</v>
          </cell>
          <cell r="Y25">
            <v>3751889.8237200007</v>
          </cell>
          <cell r="Z25">
            <v>3485984.3304000003</v>
          </cell>
          <cell r="AA25">
            <v>3633663.7701000008</v>
          </cell>
          <cell r="AB25">
            <v>3160814.1857100008</v>
          </cell>
          <cell r="AC25">
            <v>3316852.6369599998</v>
          </cell>
          <cell r="AD25">
            <v>4437808.4852500008</v>
          </cell>
          <cell r="AE25">
            <v>4326590.0121900011</v>
          </cell>
          <cell r="AF25">
            <v>3802429.2202999992</v>
          </cell>
          <cell r="AG25">
            <v>3849735.2780200006</v>
          </cell>
          <cell r="AH25">
            <v>2710837.4732999997</v>
          </cell>
          <cell r="AI25">
            <v>3592685.3039199999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36395147</v>
          </cell>
          <cell r="E29">
            <v>4690933</v>
          </cell>
          <cell r="F29">
            <v>4028874</v>
          </cell>
          <cell r="G29">
            <v>3730463</v>
          </cell>
          <cell r="H29">
            <v>2972851</v>
          </cell>
          <cell r="I29">
            <v>2735408</v>
          </cell>
          <cell r="J29">
            <v>2128282</v>
          </cell>
          <cell r="K29">
            <v>2198752</v>
          </cell>
          <cell r="L29">
            <v>2271341</v>
          </cell>
          <cell r="M29">
            <v>2224208</v>
          </cell>
          <cell r="N29">
            <v>2493721</v>
          </cell>
          <cell r="O29">
            <v>3253632</v>
          </cell>
          <cell r="P29">
            <v>3666682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-10598033</v>
          </cell>
          <cell r="E30">
            <v>-1708461</v>
          </cell>
          <cell r="F30">
            <v>-1434930</v>
          </cell>
          <cell r="G30">
            <v>-1069086</v>
          </cell>
          <cell r="H30">
            <v>-889919</v>
          </cell>
          <cell r="I30">
            <v>-691556</v>
          </cell>
          <cell r="J30">
            <v>-514051</v>
          </cell>
          <cell r="K30">
            <v>-480799</v>
          </cell>
          <cell r="L30">
            <v>-512092</v>
          </cell>
          <cell r="M30">
            <v>-556741</v>
          </cell>
          <cell r="N30">
            <v>-735456</v>
          </cell>
          <cell r="O30">
            <v>-903877</v>
          </cell>
          <cell r="P30">
            <v>-1101065</v>
          </cell>
          <cell r="T30">
            <v>27</v>
          </cell>
        </row>
        <row r="31">
          <cell r="A31">
            <v>28</v>
          </cell>
          <cell r="D31">
            <v>25797114</v>
          </cell>
          <cell r="E31">
            <v>2982472</v>
          </cell>
          <cell r="F31">
            <v>2593944</v>
          </cell>
          <cell r="G31">
            <v>2661377</v>
          </cell>
          <cell r="H31">
            <v>2082932</v>
          </cell>
          <cell r="I31">
            <v>2043852</v>
          </cell>
          <cell r="J31">
            <v>1614231</v>
          </cell>
          <cell r="K31">
            <v>1717953</v>
          </cell>
          <cell r="L31">
            <v>1759249</v>
          </cell>
          <cell r="M31">
            <v>1667467</v>
          </cell>
          <cell r="N31">
            <v>1758265</v>
          </cell>
          <cell r="O31">
            <v>2349755</v>
          </cell>
          <cell r="P31">
            <v>2565617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D33">
            <v>37668977.144999996</v>
          </cell>
          <cell r="E33">
            <v>4855115.6549999993</v>
          </cell>
          <cell r="F33">
            <v>4169884.59</v>
          </cell>
          <cell r="G33">
            <v>3861029.2049999996</v>
          </cell>
          <cell r="H33">
            <v>3076900.7849999997</v>
          </cell>
          <cell r="I33">
            <v>2831147.28</v>
          </cell>
          <cell r="J33">
            <v>2202771.8699999996</v>
          </cell>
          <cell r="K33">
            <v>2275708.3199999998</v>
          </cell>
          <cell r="L33">
            <v>2350837.9349999996</v>
          </cell>
          <cell r="M33">
            <v>2302055.2799999998</v>
          </cell>
          <cell r="N33">
            <v>2581001.2349999999</v>
          </cell>
          <cell r="O33">
            <v>3367509.1199999996</v>
          </cell>
          <cell r="P33">
            <v>3795015.8699999996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-10968964.154999999</v>
          </cell>
          <cell r="E34">
            <v>-1768257.1349999998</v>
          </cell>
          <cell r="F34">
            <v>-1485152.5499999998</v>
          </cell>
          <cell r="G34">
            <v>-1106504.01</v>
          </cell>
          <cell r="H34">
            <v>-921066.16499999992</v>
          </cell>
          <cell r="I34">
            <v>-715760.46</v>
          </cell>
          <cell r="J34">
            <v>-532042.78499999992</v>
          </cell>
          <cell r="K34">
            <v>-497626.96499999997</v>
          </cell>
          <cell r="L34">
            <v>-530015.22</v>
          </cell>
          <cell r="M34">
            <v>-576226.93499999994</v>
          </cell>
          <cell r="N34">
            <v>-761196.96</v>
          </cell>
          <cell r="O34">
            <v>-935512.69499999995</v>
          </cell>
          <cell r="P34">
            <v>-1139602.2749999999</v>
          </cell>
          <cell r="T34">
            <v>31</v>
          </cell>
        </row>
        <row r="35">
          <cell r="A35">
            <v>32</v>
          </cell>
          <cell r="D35">
            <v>26700012.989999995</v>
          </cell>
          <cell r="E35">
            <v>3086858.5199999996</v>
          </cell>
          <cell r="F35">
            <v>2684732.04</v>
          </cell>
          <cell r="G35">
            <v>2754525.1949999994</v>
          </cell>
          <cell r="H35">
            <v>2155834.6199999996</v>
          </cell>
          <cell r="I35">
            <v>2115386.8199999998</v>
          </cell>
          <cell r="J35">
            <v>1670729.0849999997</v>
          </cell>
          <cell r="K35">
            <v>1778081.355</v>
          </cell>
          <cell r="L35">
            <v>1820822.7149999996</v>
          </cell>
          <cell r="M35">
            <v>1725828.3449999997</v>
          </cell>
          <cell r="N35">
            <v>1819804.2749999999</v>
          </cell>
          <cell r="O35">
            <v>2431996.4249999998</v>
          </cell>
          <cell r="P35">
            <v>2655413.5949999997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17</v>
          </cell>
          <cell r="F43">
            <v>16.5</v>
          </cell>
          <cell r="G43">
            <v>16.666666666666668</v>
          </cell>
          <cell r="H43">
            <v>16.5</v>
          </cell>
          <cell r="I43">
            <v>16.399999999999999</v>
          </cell>
          <cell r="J43">
            <v>16.666666666666668</v>
          </cell>
          <cell r="K43">
            <v>16.857142857142858</v>
          </cell>
          <cell r="L43">
            <v>17</v>
          </cell>
          <cell r="M43">
            <v>17.111111111111111</v>
          </cell>
          <cell r="N43">
            <v>17.2</v>
          </cell>
          <cell r="O43">
            <v>17.272727272727273</v>
          </cell>
          <cell r="P43">
            <v>17.25</v>
          </cell>
          <cell r="T43">
            <v>40</v>
          </cell>
          <cell r="U43" t="str">
            <v>Interruptible transporation</v>
          </cell>
          <cell r="X43">
            <v>22</v>
          </cell>
          <cell r="Y43">
            <v>19.5</v>
          </cell>
          <cell r="Z43">
            <v>18.666666666666668</v>
          </cell>
          <cell r="AA43">
            <v>18.25</v>
          </cell>
          <cell r="AB43">
            <v>18.2</v>
          </cell>
          <cell r="AC43">
            <v>18</v>
          </cell>
          <cell r="AD43">
            <v>18</v>
          </cell>
          <cell r="AE43">
            <v>17.875</v>
          </cell>
          <cell r="AF43">
            <v>18</v>
          </cell>
          <cell r="AG43">
            <v>18</v>
          </cell>
          <cell r="AH43">
            <v>18</v>
          </cell>
          <cell r="AI43">
            <v>17.916666666666668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14</v>
          </cell>
          <cell r="F45">
            <v>13.5</v>
          </cell>
          <cell r="G45">
            <v>13.666666666666668</v>
          </cell>
          <cell r="H45">
            <v>13.5</v>
          </cell>
          <cell r="I45">
            <v>13.399999999999999</v>
          </cell>
          <cell r="J45">
            <v>13.666666666666668</v>
          </cell>
          <cell r="K45">
            <v>13.857142857142858</v>
          </cell>
          <cell r="L45">
            <v>14</v>
          </cell>
          <cell r="M45">
            <v>14.111111111111111</v>
          </cell>
          <cell r="N45">
            <v>14.2</v>
          </cell>
          <cell r="O45">
            <v>14.272727272727273</v>
          </cell>
          <cell r="P45">
            <v>14.25</v>
          </cell>
          <cell r="T45">
            <v>42</v>
          </cell>
          <cell r="U45" t="str">
            <v>Total customers</v>
          </cell>
          <cell r="X45">
            <v>19</v>
          </cell>
          <cell r="Y45">
            <v>16.5</v>
          </cell>
          <cell r="Z45">
            <v>15.666666666666668</v>
          </cell>
          <cell r="AA45">
            <v>15.25</v>
          </cell>
          <cell r="AB45">
            <v>15.2</v>
          </cell>
          <cell r="AC45">
            <v>15</v>
          </cell>
          <cell r="AD45">
            <v>15</v>
          </cell>
          <cell r="AE45">
            <v>14.875</v>
          </cell>
          <cell r="AF45">
            <v>15</v>
          </cell>
          <cell r="AG45">
            <v>15</v>
          </cell>
          <cell r="AH45">
            <v>15</v>
          </cell>
          <cell r="AI45">
            <v>14.916666666666668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5122614</v>
          </cell>
          <cell r="F51">
            <v>9569735</v>
          </cell>
          <cell r="G51">
            <v>14495727</v>
          </cell>
          <cell r="H51">
            <v>17318834</v>
          </cell>
          <cell r="I51">
            <v>21205298</v>
          </cell>
          <cell r="J51">
            <v>25030341</v>
          </cell>
          <cell r="K51">
            <v>28934555</v>
          </cell>
          <cell r="L51">
            <v>32945293</v>
          </cell>
          <cell r="M51">
            <v>37036473</v>
          </cell>
          <cell r="N51">
            <v>41122212</v>
          </cell>
          <cell r="O51">
            <v>45003112</v>
          </cell>
          <cell r="P51">
            <v>50296416</v>
          </cell>
          <cell r="T51">
            <v>48</v>
          </cell>
          <cell r="U51" t="str">
            <v>Transportation firm</v>
          </cell>
          <cell r="X51">
            <v>5120571</v>
          </cell>
          <cell r="Y51">
            <v>10019469</v>
          </cell>
          <cell r="Z51">
            <v>14449677</v>
          </cell>
          <cell r="AA51">
            <v>18682674</v>
          </cell>
          <cell r="AB51">
            <v>22280161</v>
          </cell>
          <cell r="AC51">
            <v>25885443</v>
          </cell>
          <cell r="AD51">
            <v>30223878</v>
          </cell>
          <cell r="AE51">
            <v>34537250</v>
          </cell>
          <cell r="AF51">
            <v>38456707</v>
          </cell>
          <cell r="AG51">
            <v>42762414</v>
          </cell>
          <cell r="AH51">
            <v>46301973</v>
          </cell>
          <cell r="AI51">
            <v>51185112</v>
          </cell>
        </row>
        <row r="52">
          <cell r="A52">
            <v>49</v>
          </cell>
          <cell r="B52" t="str">
            <v>Interruptible transportation</v>
          </cell>
          <cell r="E52">
            <v>142031</v>
          </cell>
          <cell r="F52">
            <v>208478</v>
          </cell>
          <cell r="G52">
            <v>233515</v>
          </cell>
          <cell r="H52">
            <v>259556</v>
          </cell>
          <cell r="I52">
            <v>332108</v>
          </cell>
          <cell r="J52">
            <v>413370</v>
          </cell>
          <cell r="K52">
            <v>504217</v>
          </cell>
          <cell r="L52">
            <v>641128</v>
          </cell>
          <cell r="M52">
            <v>1106129</v>
          </cell>
          <cell r="N52">
            <v>1202694</v>
          </cell>
          <cell r="O52">
            <v>1252417</v>
          </cell>
          <cell r="P52">
            <v>1344320</v>
          </cell>
          <cell r="T52">
            <v>49</v>
          </cell>
          <cell r="U52" t="str">
            <v>Interruptible transporation</v>
          </cell>
          <cell r="X52">
            <v>158171</v>
          </cell>
          <cell r="Y52">
            <v>277308</v>
          </cell>
          <cell r="Z52">
            <v>454270</v>
          </cell>
          <cell r="AA52">
            <v>536093</v>
          </cell>
          <cell r="AB52">
            <v>628041</v>
          </cell>
          <cell r="AC52">
            <v>726154</v>
          </cell>
          <cell r="AD52">
            <v>1099549</v>
          </cell>
          <cell r="AE52">
            <v>1430396</v>
          </cell>
          <cell r="AF52">
            <v>1689943</v>
          </cell>
          <cell r="AG52">
            <v>1803364</v>
          </cell>
          <cell r="AH52">
            <v>1851583</v>
          </cell>
          <cell r="AI52">
            <v>1896731</v>
          </cell>
        </row>
        <row r="53">
          <cell r="A53">
            <v>50</v>
          </cell>
          <cell r="B53" t="str">
            <v>Less: ESNG to DE, MD &amp; SP</v>
          </cell>
          <cell r="E53">
            <v>-1569792</v>
          </cell>
          <cell r="F53">
            <v>-2775692</v>
          </cell>
          <cell r="G53">
            <v>-4167090</v>
          </cell>
          <cell r="H53">
            <v>-4887552</v>
          </cell>
          <cell r="I53">
            <v>-5549998</v>
          </cell>
          <cell r="J53">
            <v>-6104611</v>
          </cell>
          <cell r="K53">
            <v>-6621478</v>
          </cell>
          <cell r="L53">
            <v>-7201595</v>
          </cell>
          <cell r="M53">
            <v>-7814166</v>
          </cell>
          <cell r="N53">
            <v>-8535444</v>
          </cell>
          <cell r="O53">
            <v>-9664030</v>
          </cell>
          <cell r="P53">
            <v>-11373352</v>
          </cell>
          <cell r="T53">
            <v>50</v>
          </cell>
          <cell r="U53" t="str">
            <v>Less: ESNG to DE, MD &amp; SP</v>
          </cell>
          <cell r="X53">
            <v>-1696097</v>
          </cell>
          <cell r="Y53">
            <v>-3165306</v>
          </cell>
          <cell r="Z53">
            <v>-4465216</v>
          </cell>
          <cell r="AA53">
            <v>-5338871</v>
          </cell>
          <cell r="AB53">
            <v>-6021529</v>
          </cell>
          <cell r="AC53">
            <v>-6572262</v>
          </cell>
          <cell r="AD53">
            <v>-7084207</v>
          </cell>
          <cell r="AE53">
            <v>-7629685</v>
          </cell>
          <cell r="AF53">
            <v>-8201824</v>
          </cell>
          <cell r="AG53">
            <v>-8963698</v>
          </cell>
          <cell r="AH53">
            <v>-9975271</v>
          </cell>
          <cell r="AI53">
            <v>-11490210</v>
          </cell>
        </row>
        <row r="54">
          <cell r="A54">
            <v>51</v>
          </cell>
          <cell r="B54" t="str">
            <v>Total Deliveries</v>
          </cell>
          <cell r="E54">
            <v>3694853</v>
          </cell>
          <cell r="F54">
            <v>7002521</v>
          </cell>
          <cell r="G54">
            <v>10562152</v>
          </cell>
          <cell r="H54">
            <v>12690838</v>
          </cell>
          <cell r="I54">
            <v>15987408</v>
          </cell>
          <cell r="J54">
            <v>19339100</v>
          </cell>
          <cell r="K54">
            <v>22817294</v>
          </cell>
          <cell r="L54">
            <v>26384826</v>
          </cell>
          <cell r="M54">
            <v>30328436</v>
          </cell>
          <cell r="N54">
            <v>33789462</v>
          </cell>
          <cell r="O54">
            <v>36591499</v>
          </cell>
          <cell r="P54">
            <v>40267384</v>
          </cell>
          <cell r="T54">
            <v>51</v>
          </cell>
          <cell r="U54" t="str">
            <v>Total Deliveries</v>
          </cell>
          <cell r="X54">
            <v>3582645</v>
          </cell>
          <cell r="Y54">
            <v>7131471</v>
          </cell>
          <cell r="Z54">
            <v>10438731</v>
          </cell>
          <cell r="AA54">
            <v>13879896</v>
          </cell>
          <cell r="AB54">
            <v>16886673</v>
          </cell>
          <cell r="AC54">
            <v>20039335</v>
          </cell>
          <cell r="AD54">
            <v>24239220</v>
          </cell>
          <cell r="AE54">
            <v>28337961</v>
          </cell>
          <cell r="AF54">
            <v>31944826</v>
          </cell>
          <cell r="AG54">
            <v>35602080</v>
          </cell>
          <cell r="AH54">
            <v>38178285</v>
          </cell>
          <cell r="AI54">
            <v>41591633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5380128</v>
          </cell>
          <cell r="F58">
            <v>10044758</v>
          </cell>
          <cell r="G58">
            <v>15207641</v>
          </cell>
          <cell r="H58">
            <v>18160357</v>
          </cell>
          <cell r="I58">
            <v>22220001.835840002</v>
          </cell>
          <cell r="J58">
            <v>26226581.376620002</v>
          </cell>
          <cell r="K58">
            <v>30319095.617840003</v>
          </cell>
          <cell r="L58">
            <v>34505744.586520001</v>
          </cell>
          <cell r="M58">
            <v>38789087.311120003</v>
          </cell>
          <cell r="N58">
            <v>43075599.525580004</v>
          </cell>
          <cell r="O58">
            <v>47148060.749580003</v>
          </cell>
          <cell r="P58">
            <v>52710105.79366</v>
          </cell>
          <cell r="T58">
            <v>55</v>
          </cell>
          <cell r="U58" t="str">
            <v>Transportation firm</v>
          </cell>
          <cell r="X58">
            <v>5425808.2373099998</v>
          </cell>
          <cell r="Y58">
            <v>10605021.18087</v>
          </cell>
          <cell r="Z58">
            <v>15274637.62119</v>
          </cell>
          <cell r="AA58">
            <v>19744428.473370001</v>
          </cell>
          <cell r="AB58">
            <v>23526214.732380003</v>
          </cell>
          <cell r="AC58">
            <v>27319259.818940002</v>
          </cell>
          <cell r="AD58">
            <v>31903467.161690004</v>
          </cell>
          <cell r="AE58">
            <v>36456619.511170007</v>
          </cell>
          <cell r="AF58">
            <v>40588589.469710007</v>
          </cell>
          <cell r="AG58">
            <v>45120905.82912001</v>
          </cell>
          <cell r="AH58">
            <v>48845442.18246001</v>
          </cell>
          <cell r="AI58">
            <v>53985141.305520013</v>
          </cell>
        </row>
        <row r="59">
          <cell r="A59">
            <v>56</v>
          </cell>
          <cell r="B59" t="str">
            <v>Interruptible transportation</v>
          </cell>
          <cell r="E59">
            <v>149171</v>
          </cell>
          <cell r="F59">
            <v>218868</v>
          </cell>
          <cell r="G59">
            <v>245109</v>
          </cell>
          <cell r="H59">
            <v>272346</v>
          </cell>
          <cell r="I59">
            <v>348130.91712</v>
          </cell>
          <cell r="J59">
            <v>433249.61164000002</v>
          </cell>
          <cell r="K59">
            <v>528478.16245000006</v>
          </cell>
          <cell r="L59">
            <v>671394.07891000004</v>
          </cell>
          <cell r="M59">
            <v>1158236.17588</v>
          </cell>
          <cell r="N59">
            <v>1259546.37998</v>
          </cell>
          <cell r="O59">
            <v>1311723.7072600001</v>
          </cell>
          <cell r="P59">
            <v>1408292.6225700001</v>
          </cell>
        </row>
        <row r="60">
          <cell r="A60">
            <v>57</v>
          </cell>
          <cell r="B60" t="str">
            <v>Less: ESNG to DE, MD &amp; SP</v>
          </cell>
          <cell r="E60">
            <v>-1648705</v>
          </cell>
          <cell r="F60">
            <v>-2913586</v>
          </cell>
          <cell r="G60">
            <v>-4371896</v>
          </cell>
          <cell r="H60">
            <v>-5125434</v>
          </cell>
          <cell r="I60">
            <v>-5817398.5937599996</v>
          </cell>
          <cell r="J60">
            <v>-6398333.5267399997</v>
          </cell>
          <cell r="K60">
            <v>-6940129.0221499996</v>
          </cell>
          <cell r="L60">
            <v>-7545689.9537699996</v>
          </cell>
          <cell r="M60">
            <v>-8187033.4136399999</v>
          </cell>
          <cell r="N60">
            <v>-8943755.0145599991</v>
          </cell>
          <cell r="O60">
            <v>-10128048.01952</v>
          </cell>
          <cell r="P60">
            <v>-11924152.297459999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3880594</v>
          </cell>
          <cell r="F61">
            <v>7350040</v>
          </cell>
          <cell r="G61">
            <v>11080854</v>
          </cell>
          <cell r="H61">
            <v>13307269</v>
          </cell>
          <cell r="I61">
            <v>16750734.159200002</v>
          </cell>
          <cell r="J61">
            <v>20261497.461520001</v>
          </cell>
          <cell r="K61">
            <v>23907444.758140005</v>
          </cell>
          <cell r="L61">
            <v>27631448.711660001</v>
          </cell>
          <cell r="M61">
            <v>31760290.073360004</v>
          </cell>
          <cell r="N61">
            <v>35391390.891000003</v>
          </cell>
          <cell r="O61">
            <v>38331736.437320001</v>
          </cell>
          <cell r="P61">
            <v>42194246.118770003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4690933</v>
          </cell>
          <cell r="F66">
            <v>8719807</v>
          </cell>
          <cell r="G66">
            <v>12450270</v>
          </cell>
          <cell r="H66">
            <v>15423121</v>
          </cell>
          <cell r="I66">
            <v>18158529</v>
          </cell>
          <cell r="J66">
            <v>20286811</v>
          </cell>
          <cell r="K66">
            <v>22485563</v>
          </cell>
          <cell r="L66">
            <v>24756904</v>
          </cell>
          <cell r="M66">
            <v>26981112</v>
          </cell>
          <cell r="N66">
            <v>29474833</v>
          </cell>
          <cell r="O66">
            <v>32728465</v>
          </cell>
          <cell r="P66">
            <v>36395147</v>
          </cell>
        </row>
        <row r="67">
          <cell r="A67">
            <v>64</v>
          </cell>
          <cell r="B67" t="str">
            <v>Less Sales to DE/MD/SP</v>
          </cell>
          <cell r="E67">
            <v>-1708461</v>
          </cell>
          <cell r="F67">
            <v>-3143391</v>
          </cell>
          <cell r="G67">
            <v>-4212477</v>
          </cell>
          <cell r="H67">
            <v>-5102396</v>
          </cell>
          <cell r="I67">
            <v>-5793952</v>
          </cell>
          <cell r="J67">
            <v>-6308003</v>
          </cell>
          <cell r="K67">
            <v>-6788802</v>
          </cell>
          <cell r="L67">
            <v>-7300894</v>
          </cell>
          <cell r="M67">
            <v>-7857635</v>
          </cell>
          <cell r="N67">
            <v>-8593091</v>
          </cell>
          <cell r="O67">
            <v>-9496968</v>
          </cell>
          <cell r="P67">
            <v>-10598033</v>
          </cell>
        </row>
        <row r="68">
          <cell r="A68">
            <v>65</v>
          </cell>
          <cell r="E68">
            <v>2982472</v>
          </cell>
          <cell r="F68">
            <v>5576416</v>
          </cell>
          <cell r="G68">
            <v>8237793</v>
          </cell>
          <cell r="H68">
            <v>10320725</v>
          </cell>
          <cell r="I68">
            <v>12364577</v>
          </cell>
          <cell r="J68">
            <v>13978808</v>
          </cell>
          <cell r="K68">
            <v>15696761</v>
          </cell>
          <cell r="L68">
            <v>17456010</v>
          </cell>
          <cell r="M68">
            <v>19123477</v>
          </cell>
          <cell r="N68">
            <v>20881742</v>
          </cell>
          <cell r="O68">
            <v>23231497</v>
          </cell>
          <cell r="P68">
            <v>25797114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4855115.6549999993</v>
          </cell>
          <cell r="F70">
            <v>9025000.2449999992</v>
          </cell>
          <cell r="G70">
            <v>12886029.449999999</v>
          </cell>
          <cell r="H70">
            <v>15962930.234999999</v>
          </cell>
          <cell r="I70">
            <v>18794077.515000001</v>
          </cell>
          <cell r="J70">
            <v>20996849.385000002</v>
          </cell>
          <cell r="K70">
            <v>23272557.705000002</v>
          </cell>
          <cell r="L70">
            <v>25623395.640000001</v>
          </cell>
          <cell r="M70">
            <v>27925450.920000002</v>
          </cell>
          <cell r="N70">
            <v>30506452.155000001</v>
          </cell>
          <cell r="O70">
            <v>33873961.274999999</v>
          </cell>
          <cell r="P70">
            <v>37668977.144999996</v>
          </cell>
        </row>
        <row r="71">
          <cell r="A71">
            <v>68</v>
          </cell>
          <cell r="B71" t="str">
            <v>Less Sales to DE/MD/SP</v>
          </cell>
          <cell r="E71">
            <v>-1768257.1349999998</v>
          </cell>
          <cell r="F71">
            <v>-3253409.6849999996</v>
          </cell>
          <cell r="G71">
            <v>-4359913.6949999994</v>
          </cell>
          <cell r="H71">
            <v>-5280979.8599999994</v>
          </cell>
          <cell r="I71">
            <v>-5996740.3199999994</v>
          </cell>
          <cell r="J71">
            <v>-6528783.1049999995</v>
          </cell>
          <cell r="K71">
            <v>-7026410.0699999994</v>
          </cell>
          <cell r="L71">
            <v>-7556425.2899999991</v>
          </cell>
          <cell r="M71">
            <v>-8132652.2249999987</v>
          </cell>
          <cell r="N71">
            <v>-8893849.1849999987</v>
          </cell>
          <cell r="O71">
            <v>-9829361.879999999</v>
          </cell>
          <cell r="P71">
            <v>-10968964.154999999</v>
          </cell>
        </row>
      </sheetData>
      <sheetData sheetId="15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9528</v>
          </cell>
          <cell r="E5">
            <v>9578</v>
          </cell>
          <cell r="F5">
            <v>9579</v>
          </cell>
          <cell r="G5">
            <v>9546</v>
          </cell>
          <cell r="H5">
            <v>9532</v>
          </cell>
          <cell r="I5">
            <v>9502</v>
          </cell>
          <cell r="J5">
            <v>9481</v>
          </cell>
          <cell r="K5">
            <v>9487</v>
          </cell>
          <cell r="L5">
            <v>9492</v>
          </cell>
          <cell r="M5">
            <v>9503</v>
          </cell>
          <cell r="N5">
            <v>9500</v>
          </cell>
          <cell r="O5">
            <v>9538</v>
          </cell>
          <cell r="P5">
            <v>9599</v>
          </cell>
          <cell r="T5">
            <v>2</v>
          </cell>
          <cell r="U5" t="str">
            <v>Residential</v>
          </cell>
          <cell r="V5">
            <v>9535</v>
          </cell>
          <cell r="W5">
            <v>114423</v>
          </cell>
          <cell r="X5">
            <v>9586</v>
          </cell>
          <cell r="Y5">
            <v>9582</v>
          </cell>
          <cell r="Z5">
            <v>9569</v>
          </cell>
          <cell r="AA5">
            <v>9540</v>
          </cell>
          <cell r="AB5">
            <v>9521</v>
          </cell>
          <cell r="AC5">
            <v>9526</v>
          </cell>
          <cell r="AD5">
            <v>9525</v>
          </cell>
          <cell r="AE5">
            <v>9507</v>
          </cell>
          <cell r="AF5">
            <v>9488</v>
          </cell>
          <cell r="AG5">
            <v>9495</v>
          </cell>
          <cell r="AH5">
            <v>9522</v>
          </cell>
          <cell r="AI5">
            <v>9562</v>
          </cell>
        </row>
        <row r="6">
          <cell r="A6">
            <v>3</v>
          </cell>
          <cell r="B6" t="str">
            <v>Commercial</v>
          </cell>
          <cell r="D6">
            <v>1059</v>
          </cell>
          <cell r="E6">
            <v>1039</v>
          </cell>
          <cell r="F6">
            <v>1037</v>
          </cell>
          <cell r="G6">
            <v>1029</v>
          </cell>
          <cell r="H6">
            <v>1036</v>
          </cell>
          <cell r="I6">
            <v>1060</v>
          </cell>
          <cell r="J6">
            <v>1087</v>
          </cell>
          <cell r="K6">
            <v>1086</v>
          </cell>
          <cell r="L6">
            <v>1086</v>
          </cell>
          <cell r="M6">
            <v>1087</v>
          </cell>
          <cell r="N6">
            <v>1076</v>
          </cell>
          <cell r="O6">
            <v>1046</v>
          </cell>
          <cell r="P6">
            <v>1038</v>
          </cell>
          <cell r="T6">
            <v>3</v>
          </cell>
          <cell r="U6" t="str">
            <v>Commercial</v>
          </cell>
          <cell r="V6">
            <v>1062</v>
          </cell>
          <cell r="W6">
            <v>12741</v>
          </cell>
          <cell r="X6">
            <v>1038</v>
          </cell>
          <cell r="Y6">
            <v>1040</v>
          </cell>
          <cell r="Z6">
            <v>1036</v>
          </cell>
          <cell r="AA6">
            <v>1049</v>
          </cell>
          <cell r="AB6">
            <v>1067</v>
          </cell>
          <cell r="AC6">
            <v>1085</v>
          </cell>
          <cell r="AD6">
            <v>1087</v>
          </cell>
          <cell r="AE6">
            <v>1089</v>
          </cell>
          <cell r="AF6">
            <v>1092</v>
          </cell>
          <cell r="AG6">
            <v>1081</v>
          </cell>
          <cell r="AH6">
            <v>1048</v>
          </cell>
          <cell r="AI6">
            <v>1029</v>
          </cell>
        </row>
        <row r="7">
          <cell r="A7">
            <v>4</v>
          </cell>
          <cell r="B7" t="str">
            <v xml:space="preserve">Industrial </v>
          </cell>
          <cell r="D7">
            <v>18</v>
          </cell>
          <cell r="E7">
            <v>10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18</v>
          </cell>
          <cell r="L7">
            <v>18</v>
          </cell>
          <cell r="M7">
            <v>19</v>
          </cell>
          <cell r="N7">
            <v>20</v>
          </cell>
          <cell r="O7">
            <v>20</v>
          </cell>
          <cell r="P7">
            <v>21</v>
          </cell>
          <cell r="T7">
            <v>4</v>
          </cell>
          <cell r="U7" t="str">
            <v xml:space="preserve">Industrial </v>
          </cell>
          <cell r="V7">
            <v>5</v>
          </cell>
          <cell r="W7">
            <v>59</v>
          </cell>
          <cell r="X7">
            <v>4</v>
          </cell>
          <cell r="Y7">
            <v>4</v>
          </cell>
          <cell r="Z7">
            <v>4</v>
          </cell>
          <cell r="AA7">
            <v>4</v>
          </cell>
          <cell r="AB7">
            <v>4</v>
          </cell>
          <cell r="AC7">
            <v>4</v>
          </cell>
          <cell r="AD7">
            <v>4</v>
          </cell>
          <cell r="AE7">
            <v>5</v>
          </cell>
          <cell r="AF7">
            <v>5</v>
          </cell>
          <cell r="AG7">
            <v>5</v>
          </cell>
          <cell r="AH7">
            <v>5</v>
          </cell>
          <cell r="AI7">
            <v>11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10605</v>
          </cell>
          <cell r="E9">
            <v>10627</v>
          </cell>
          <cell r="F9">
            <v>10633</v>
          </cell>
          <cell r="G9">
            <v>10592</v>
          </cell>
          <cell r="H9">
            <v>10585</v>
          </cell>
          <cell r="I9">
            <v>10579</v>
          </cell>
          <cell r="J9">
            <v>10585</v>
          </cell>
          <cell r="K9">
            <v>10591</v>
          </cell>
          <cell r="L9">
            <v>10596</v>
          </cell>
          <cell r="M9">
            <v>10609</v>
          </cell>
          <cell r="N9">
            <v>10596</v>
          </cell>
          <cell r="O9">
            <v>10604</v>
          </cell>
          <cell r="P9">
            <v>10658</v>
          </cell>
          <cell r="T9">
            <v>6</v>
          </cell>
          <cell r="U9" t="str">
            <v>Total customers</v>
          </cell>
          <cell r="V9">
            <v>10602</v>
          </cell>
          <cell r="W9">
            <v>127223</v>
          </cell>
          <cell r="X9">
            <v>10628</v>
          </cell>
          <cell r="Y9">
            <v>10626</v>
          </cell>
          <cell r="Z9">
            <v>10609</v>
          </cell>
          <cell r="AA9">
            <v>10593</v>
          </cell>
          <cell r="AB9">
            <v>10592</v>
          </cell>
          <cell r="AC9">
            <v>10615</v>
          </cell>
          <cell r="AD9">
            <v>10616</v>
          </cell>
          <cell r="AE9">
            <v>10601</v>
          </cell>
          <cell r="AF9">
            <v>10585</v>
          </cell>
          <cell r="AG9">
            <v>10581</v>
          </cell>
          <cell r="AH9">
            <v>10575</v>
          </cell>
          <cell r="AI9">
            <v>10602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- 2017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220407</v>
          </cell>
          <cell r="E12">
            <v>42585</v>
          </cell>
          <cell r="F12">
            <v>38389</v>
          </cell>
          <cell r="G12">
            <v>31615</v>
          </cell>
          <cell r="H12">
            <v>23154</v>
          </cell>
          <cell r="I12">
            <v>8596</v>
          </cell>
          <cell r="J12">
            <v>6909</v>
          </cell>
          <cell r="K12">
            <v>6116</v>
          </cell>
          <cell r="L12">
            <v>5621</v>
          </cell>
          <cell r="M12">
            <v>5931</v>
          </cell>
          <cell r="N12">
            <v>5747</v>
          </cell>
          <cell r="O12">
            <v>14794</v>
          </cell>
          <cell r="P12">
            <v>30950</v>
          </cell>
          <cell r="T12">
            <v>9</v>
          </cell>
          <cell r="U12" t="str">
            <v>Residential</v>
          </cell>
          <cell r="W12">
            <v>223336</v>
          </cell>
          <cell r="X12">
            <v>33977</v>
          </cell>
          <cell r="Y12">
            <v>45833</v>
          </cell>
          <cell r="Z12">
            <v>33310</v>
          </cell>
          <cell r="AA12">
            <v>20813</v>
          </cell>
          <cell r="AB12">
            <v>13245</v>
          </cell>
          <cell r="AC12">
            <v>7321</v>
          </cell>
          <cell r="AD12">
            <v>6399</v>
          </cell>
          <cell r="AE12">
            <v>5557</v>
          </cell>
          <cell r="AF12">
            <v>5223</v>
          </cell>
          <cell r="AG12">
            <v>6004</v>
          </cell>
          <cell r="AH12">
            <v>13619</v>
          </cell>
          <cell r="AI12">
            <v>32035</v>
          </cell>
        </row>
        <row r="13">
          <cell r="A13">
            <v>10</v>
          </cell>
          <cell r="B13" t="str">
            <v>Commercial</v>
          </cell>
          <cell r="D13">
            <v>333243</v>
          </cell>
          <cell r="E13">
            <v>30879</v>
          </cell>
          <cell r="F13">
            <v>30546</v>
          </cell>
          <cell r="G13">
            <v>28334</v>
          </cell>
          <cell r="H13">
            <v>28615</v>
          </cell>
          <cell r="I13">
            <v>20980</v>
          </cell>
          <cell r="J13">
            <v>27622</v>
          </cell>
          <cell r="K13">
            <v>33066</v>
          </cell>
          <cell r="L13">
            <v>31962</v>
          </cell>
          <cell r="M13">
            <v>31487</v>
          </cell>
          <cell r="N13">
            <v>23615</v>
          </cell>
          <cell r="O13">
            <v>20854</v>
          </cell>
          <cell r="P13">
            <v>25283</v>
          </cell>
          <cell r="T13">
            <v>10</v>
          </cell>
          <cell r="U13" t="str">
            <v>Commercial</v>
          </cell>
          <cell r="W13">
            <v>419965</v>
          </cell>
          <cell r="X13">
            <v>33991</v>
          </cell>
          <cell r="Y13">
            <v>40227</v>
          </cell>
          <cell r="Z13">
            <v>40760</v>
          </cell>
          <cell r="AA13">
            <v>34365</v>
          </cell>
          <cell r="AB13">
            <v>30403</v>
          </cell>
          <cell r="AC13">
            <v>32496</v>
          </cell>
          <cell r="AD13">
            <v>39159</v>
          </cell>
          <cell r="AE13">
            <v>39543</v>
          </cell>
          <cell r="AF13">
            <v>39138</v>
          </cell>
          <cell r="AG13">
            <v>33889</v>
          </cell>
          <cell r="AH13">
            <v>28649</v>
          </cell>
          <cell r="AI13">
            <v>27345</v>
          </cell>
        </row>
        <row r="14">
          <cell r="A14">
            <v>11</v>
          </cell>
          <cell r="B14" t="str">
            <v xml:space="preserve">Industrial </v>
          </cell>
          <cell r="D14">
            <v>208693</v>
          </cell>
          <cell r="E14">
            <v>14695</v>
          </cell>
          <cell r="F14">
            <v>13551</v>
          </cell>
          <cell r="G14">
            <v>16784</v>
          </cell>
          <cell r="H14">
            <v>16178</v>
          </cell>
          <cell r="I14">
            <v>20580</v>
          </cell>
          <cell r="J14">
            <v>16890</v>
          </cell>
          <cell r="K14">
            <v>15683</v>
          </cell>
          <cell r="L14">
            <v>15572</v>
          </cell>
          <cell r="M14">
            <v>18843</v>
          </cell>
          <cell r="N14">
            <v>19672</v>
          </cell>
          <cell r="O14">
            <v>20205</v>
          </cell>
          <cell r="P14">
            <v>20040</v>
          </cell>
          <cell r="T14">
            <v>11</v>
          </cell>
          <cell r="U14" t="str">
            <v xml:space="preserve">Industrial </v>
          </cell>
          <cell r="W14">
            <v>96196</v>
          </cell>
          <cell r="X14">
            <v>7875</v>
          </cell>
          <cell r="Y14">
            <v>5524</v>
          </cell>
          <cell r="Z14">
            <v>4044</v>
          </cell>
          <cell r="AA14">
            <v>5796</v>
          </cell>
          <cell r="AB14">
            <v>8663</v>
          </cell>
          <cell r="AC14">
            <v>8779</v>
          </cell>
          <cell r="AD14">
            <v>5484</v>
          </cell>
          <cell r="AE14">
            <v>5321</v>
          </cell>
          <cell r="AF14">
            <v>10258</v>
          </cell>
          <cell r="AG14">
            <v>10976</v>
          </cell>
          <cell r="AH14">
            <v>5231</v>
          </cell>
          <cell r="AI14">
            <v>18245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762343</v>
          </cell>
          <cell r="E16">
            <v>88159</v>
          </cell>
          <cell r="F16">
            <v>82486</v>
          </cell>
          <cell r="G16">
            <v>76733</v>
          </cell>
          <cell r="H16">
            <v>67947</v>
          </cell>
          <cell r="I16">
            <v>50156</v>
          </cell>
          <cell r="J16">
            <v>51421</v>
          </cell>
          <cell r="K16">
            <v>54865</v>
          </cell>
          <cell r="L16">
            <v>53155</v>
          </cell>
          <cell r="M16">
            <v>56261</v>
          </cell>
          <cell r="N16">
            <v>49034</v>
          </cell>
          <cell r="O16">
            <v>55853</v>
          </cell>
          <cell r="P16">
            <v>76273</v>
          </cell>
          <cell r="T16">
            <v>13</v>
          </cell>
          <cell r="U16" t="str">
            <v>Total Deliveries</v>
          </cell>
          <cell r="W16">
            <v>739497</v>
          </cell>
          <cell r="X16">
            <v>75843</v>
          </cell>
          <cell r="Y16">
            <v>91584</v>
          </cell>
          <cell r="Z16">
            <v>78114</v>
          </cell>
          <cell r="AA16">
            <v>60974</v>
          </cell>
          <cell r="AB16">
            <v>52311</v>
          </cell>
          <cell r="AC16">
            <v>48596</v>
          </cell>
          <cell r="AD16">
            <v>51042</v>
          </cell>
          <cell r="AE16">
            <v>50421</v>
          </cell>
          <cell r="AF16">
            <v>54619</v>
          </cell>
          <cell r="AG16">
            <v>50869</v>
          </cell>
          <cell r="AH16">
            <v>47499</v>
          </cell>
          <cell r="AI16">
            <v>77625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1.05027</v>
          </cell>
          <cell r="F18">
            <v>1.04891</v>
          </cell>
          <cell r="G18">
            <v>1.04809</v>
          </cell>
          <cell r="H18">
            <v>1.0459099999999999</v>
          </cell>
          <cell r="I18">
            <v>1.0445599999999999</v>
          </cell>
          <cell r="J18">
            <v>1.0474600000000001</v>
          </cell>
          <cell r="K18">
            <v>1.04823</v>
          </cell>
          <cell r="L18">
            <v>1.04386</v>
          </cell>
          <cell r="M18">
            <v>1.04697</v>
          </cell>
          <cell r="N18">
            <v>1.04914</v>
          </cell>
          <cell r="O18">
            <v>1.0493600000000001</v>
          </cell>
          <cell r="P18">
            <v>1.05077</v>
          </cell>
          <cell r="T18">
            <v>15</v>
          </cell>
          <cell r="X18">
            <v>1.0596099999999999</v>
          </cell>
          <cell r="Y18">
            <v>1.05722</v>
          </cell>
          <cell r="Z18">
            <v>1.0540400000000001</v>
          </cell>
          <cell r="AA18">
            <v>1.0559400000000001</v>
          </cell>
          <cell r="AB18">
            <v>1.0512300000000001</v>
          </cell>
          <cell r="AC18">
            <v>1.0520799999999999</v>
          </cell>
          <cell r="AD18">
            <v>1.0566500000000001</v>
          </cell>
          <cell r="AE18">
            <v>1.05559</v>
          </cell>
          <cell r="AF18">
            <v>1.0542199999999999</v>
          </cell>
          <cell r="AG18">
            <v>1.05263</v>
          </cell>
          <cell r="AH18">
            <v>1.05226</v>
          </cell>
          <cell r="AI18">
            <v>1.05254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- 2017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- 2016 -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231124</v>
          </cell>
          <cell r="E21">
            <v>44726</v>
          </cell>
          <cell r="F21">
            <v>40267</v>
          </cell>
          <cell r="G21">
            <v>33135</v>
          </cell>
          <cell r="H21">
            <v>24217</v>
          </cell>
          <cell r="I21">
            <v>8979</v>
          </cell>
          <cell r="J21">
            <v>7237</v>
          </cell>
          <cell r="K21">
            <v>6411</v>
          </cell>
          <cell r="L21">
            <v>5868</v>
          </cell>
          <cell r="M21">
            <v>6210</v>
          </cell>
          <cell r="N21">
            <v>6029</v>
          </cell>
          <cell r="O21">
            <v>15524</v>
          </cell>
          <cell r="P21">
            <v>32521</v>
          </cell>
          <cell r="T21">
            <v>18</v>
          </cell>
          <cell r="U21" t="str">
            <v>Residential</v>
          </cell>
          <cell r="W21">
            <v>235674</v>
          </cell>
          <cell r="X21">
            <v>36002</v>
          </cell>
          <cell r="Y21">
            <v>48456</v>
          </cell>
          <cell r="Z21">
            <v>35110</v>
          </cell>
          <cell r="AA21">
            <v>21977</v>
          </cell>
          <cell r="AB21">
            <v>13924</v>
          </cell>
          <cell r="AC21">
            <v>7702</v>
          </cell>
          <cell r="AD21">
            <v>6762</v>
          </cell>
          <cell r="AE21">
            <v>5866</v>
          </cell>
          <cell r="AF21">
            <v>5506</v>
          </cell>
          <cell r="AG21">
            <v>6320</v>
          </cell>
          <cell r="AH21">
            <v>14331</v>
          </cell>
          <cell r="AI21">
            <v>33718</v>
          </cell>
        </row>
        <row r="22">
          <cell r="A22">
            <v>19</v>
          </cell>
          <cell r="B22" t="str">
            <v>Commercial</v>
          </cell>
          <cell r="D22">
            <v>349161</v>
          </cell>
          <cell r="E22">
            <v>32431</v>
          </cell>
          <cell r="F22">
            <v>32040</v>
          </cell>
          <cell r="G22">
            <v>29697</v>
          </cell>
          <cell r="H22">
            <v>29929</v>
          </cell>
          <cell r="I22">
            <v>21915</v>
          </cell>
          <cell r="J22">
            <v>28933</v>
          </cell>
          <cell r="K22">
            <v>34661</v>
          </cell>
          <cell r="L22">
            <v>33364</v>
          </cell>
          <cell r="M22">
            <v>32966</v>
          </cell>
          <cell r="N22">
            <v>24775</v>
          </cell>
          <cell r="O22">
            <v>21883</v>
          </cell>
          <cell r="P22">
            <v>26567</v>
          </cell>
          <cell r="T22">
            <v>19</v>
          </cell>
          <cell r="U22" t="str">
            <v>Commercial</v>
          </cell>
          <cell r="W22">
            <v>442924</v>
          </cell>
          <cell r="X22">
            <v>36017</v>
          </cell>
          <cell r="Y22">
            <v>42529</v>
          </cell>
          <cell r="Z22">
            <v>42963</v>
          </cell>
          <cell r="AA22">
            <v>36287</v>
          </cell>
          <cell r="AB22">
            <v>31961</v>
          </cell>
          <cell r="AC22">
            <v>34188</v>
          </cell>
          <cell r="AD22">
            <v>41377</v>
          </cell>
          <cell r="AE22">
            <v>41741</v>
          </cell>
          <cell r="AF22">
            <v>41260</v>
          </cell>
          <cell r="AG22">
            <v>35673</v>
          </cell>
          <cell r="AH22">
            <v>30146</v>
          </cell>
          <cell r="AI22">
            <v>28782</v>
          </cell>
        </row>
        <row r="23">
          <cell r="A23">
            <v>20</v>
          </cell>
          <cell r="B23" t="str">
            <v xml:space="preserve">Industrial </v>
          </cell>
          <cell r="D23">
            <v>218669</v>
          </cell>
          <cell r="E23">
            <v>15434</v>
          </cell>
          <cell r="F23">
            <v>14214</v>
          </cell>
          <cell r="G23">
            <v>17591</v>
          </cell>
          <cell r="H23">
            <v>16921</v>
          </cell>
          <cell r="I23">
            <v>21497</v>
          </cell>
          <cell r="J23">
            <v>17692</v>
          </cell>
          <cell r="K23">
            <v>16439</v>
          </cell>
          <cell r="L23">
            <v>16255</v>
          </cell>
          <cell r="M23">
            <v>19728</v>
          </cell>
          <cell r="N23">
            <v>20639</v>
          </cell>
          <cell r="O23">
            <v>21202</v>
          </cell>
          <cell r="P23">
            <v>21057</v>
          </cell>
          <cell r="T23">
            <v>20</v>
          </cell>
          <cell r="U23" t="str">
            <v xml:space="preserve">Industrial </v>
          </cell>
          <cell r="W23">
            <v>101398</v>
          </cell>
          <cell r="X23">
            <v>8344</v>
          </cell>
          <cell r="Y23">
            <v>5840</v>
          </cell>
          <cell r="Z23">
            <v>4263</v>
          </cell>
          <cell r="AA23">
            <v>6120</v>
          </cell>
          <cell r="AB23">
            <v>9107</v>
          </cell>
          <cell r="AC23">
            <v>9236</v>
          </cell>
          <cell r="AD23">
            <v>5795</v>
          </cell>
          <cell r="AE23">
            <v>5617</v>
          </cell>
          <cell r="AF23">
            <v>10814</v>
          </cell>
          <cell r="AG23">
            <v>11554</v>
          </cell>
          <cell r="AH23">
            <v>5504</v>
          </cell>
          <cell r="AI23">
            <v>19204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798954</v>
          </cell>
          <cell r="E25">
            <v>92591</v>
          </cell>
          <cell r="F25">
            <v>86521</v>
          </cell>
          <cell r="G25">
            <v>80423</v>
          </cell>
          <cell r="H25">
            <v>71067</v>
          </cell>
          <cell r="I25">
            <v>52391</v>
          </cell>
          <cell r="J25">
            <v>53862</v>
          </cell>
          <cell r="K25">
            <v>57511</v>
          </cell>
          <cell r="L25">
            <v>55487</v>
          </cell>
          <cell r="M25">
            <v>58904</v>
          </cell>
          <cell r="N25">
            <v>51443</v>
          </cell>
          <cell r="O25">
            <v>58609</v>
          </cell>
          <cell r="P25">
            <v>80145</v>
          </cell>
          <cell r="T25">
            <v>22</v>
          </cell>
          <cell r="U25" t="str">
            <v>Total Deliveries</v>
          </cell>
          <cell r="W25">
            <v>779996</v>
          </cell>
          <cell r="X25">
            <v>80363</v>
          </cell>
          <cell r="Y25">
            <v>96825</v>
          </cell>
          <cell r="Z25">
            <v>82336</v>
          </cell>
          <cell r="AA25">
            <v>64384</v>
          </cell>
          <cell r="AB25">
            <v>54992</v>
          </cell>
          <cell r="AC25">
            <v>51126</v>
          </cell>
          <cell r="AD25">
            <v>53934</v>
          </cell>
          <cell r="AE25">
            <v>53224</v>
          </cell>
          <cell r="AF25">
            <v>57580</v>
          </cell>
          <cell r="AG25">
            <v>53547</v>
          </cell>
          <cell r="AH25">
            <v>49981</v>
          </cell>
          <cell r="AI25">
            <v>81704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10635</v>
          </cell>
          <cell r="F28">
            <v>10646</v>
          </cell>
          <cell r="G28">
            <v>10639</v>
          </cell>
          <cell r="H28">
            <v>10634</v>
          </cell>
          <cell r="I28">
            <v>10645</v>
          </cell>
          <cell r="J28">
            <v>10766</v>
          </cell>
          <cell r="K28">
            <v>10753</v>
          </cell>
          <cell r="L28">
            <v>10771</v>
          </cell>
          <cell r="M28">
            <v>10774</v>
          </cell>
          <cell r="N28">
            <v>10784</v>
          </cell>
          <cell r="O28">
            <v>10733</v>
          </cell>
          <cell r="P28">
            <v>10746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92003</v>
          </cell>
          <cell r="F29">
            <v>96883</v>
          </cell>
          <cell r="G29">
            <v>91977</v>
          </cell>
          <cell r="H29">
            <v>65349</v>
          </cell>
          <cell r="I29">
            <v>54111</v>
          </cell>
          <cell r="J29">
            <v>50388</v>
          </cell>
          <cell r="K29">
            <v>55865</v>
          </cell>
          <cell r="L29">
            <v>61230</v>
          </cell>
          <cell r="M29">
            <v>57747</v>
          </cell>
          <cell r="N29">
            <v>48513</v>
          </cell>
          <cell r="O29">
            <v>52100</v>
          </cell>
          <cell r="P29">
            <v>75324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95223.104999999996</v>
          </cell>
          <cell r="F30">
            <v>100273.905</v>
          </cell>
          <cell r="G30">
            <v>95196.194999999992</v>
          </cell>
          <cell r="H30">
            <v>67636.214999999997</v>
          </cell>
          <cell r="I30">
            <v>56004.884999999995</v>
          </cell>
          <cell r="J30">
            <v>52151.579999999994</v>
          </cell>
          <cell r="K30">
            <v>57820.274999999994</v>
          </cell>
          <cell r="L30">
            <v>63373.049999999996</v>
          </cell>
          <cell r="M30">
            <v>59768.144999999997</v>
          </cell>
          <cell r="N30">
            <v>50210.954999999994</v>
          </cell>
          <cell r="O30">
            <v>53923.499999999993</v>
          </cell>
          <cell r="P30">
            <v>77960.34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9578</v>
          </cell>
          <cell r="F34">
            <v>9579</v>
          </cell>
          <cell r="G34">
            <v>9568</v>
          </cell>
          <cell r="H34">
            <v>9559</v>
          </cell>
          <cell r="I34">
            <v>9547</v>
          </cell>
          <cell r="J34">
            <v>9536</v>
          </cell>
          <cell r="K34">
            <v>9529</v>
          </cell>
          <cell r="L34">
            <v>9525</v>
          </cell>
          <cell r="M34">
            <v>9522</v>
          </cell>
          <cell r="N34">
            <v>9520</v>
          </cell>
          <cell r="O34">
            <v>9522</v>
          </cell>
          <cell r="P34">
            <v>9528</v>
          </cell>
          <cell r="T34">
            <v>31</v>
          </cell>
          <cell r="U34" t="str">
            <v>Residential</v>
          </cell>
          <cell r="X34">
            <v>9586</v>
          </cell>
          <cell r="Y34">
            <v>9584</v>
          </cell>
          <cell r="Z34">
            <v>9579</v>
          </cell>
          <cell r="AA34">
            <v>9569</v>
          </cell>
          <cell r="AB34">
            <v>9560</v>
          </cell>
          <cell r="AC34">
            <v>9554</v>
          </cell>
          <cell r="AD34">
            <v>9550</v>
          </cell>
          <cell r="AE34">
            <v>9545</v>
          </cell>
          <cell r="AF34">
            <v>9538</v>
          </cell>
          <cell r="AG34">
            <v>9534</v>
          </cell>
          <cell r="AH34">
            <v>9533</v>
          </cell>
          <cell r="AI34">
            <v>9535</v>
          </cell>
        </row>
        <row r="35">
          <cell r="A35">
            <v>32</v>
          </cell>
          <cell r="B35" t="str">
            <v>Commercial</v>
          </cell>
          <cell r="E35">
            <v>1039</v>
          </cell>
          <cell r="F35">
            <v>1038</v>
          </cell>
          <cell r="G35">
            <v>1035</v>
          </cell>
          <cell r="H35">
            <v>1035</v>
          </cell>
          <cell r="I35">
            <v>1040</v>
          </cell>
          <cell r="J35">
            <v>1048</v>
          </cell>
          <cell r="K35">
            <v>1053</v>
          </cell>
          <cell r="L35">
            <v>1058</v>
          </cell>
          <cell r="M35">
            <v>1061</v>
          </cell>
          <cell r="N35">
            <v>1062</v>
          </cell>
          <cell r="O35">
            <v>1061</v>
          </cell>
          <cell r="P35">
            <v>1059</v>
          </cell>
          <cell r="T35">
            <v>32</v>
          </cell>
          <cell r="U35" t="str">
            <v>Commercial</v>
          </cell>
          <cell r="X35">
            <v>1038</v>
          </cell>
          <cell r="Y35">
            <v>1039</v>
          </cell>
          <cell r="Z35">
            <v>1038</v>
          </cell>
          <cell r="AA35">
            <v>1041</v>
          </cell>
          <cell r="AB35">
            <v>1046</v>
          </cell>
          <cell r="AC35">
            <v>1053</v>
          </cell>
          <cell r="AD35">
            <v>1057</v>
          </cell>
          <cell r="AE35">
            <v>1061</v>
          </cell>
          <cell r="AF35">
            <v>1065</v>
          </cell>
          <cell r="AG35">
            <v>1066</v>
          </cell>
          <cell r="AH35">
            <v>1065</v>
          </cell>
          <cell r="AI35">
            <v>1062</v>
          </cell>
        </row>
        <row r="36">
          <cell r="A36">
            <v>33</v>
          </cell>
          <cell r="B36" t="str">
            <v xml:space="preserve">Industrial </v>
          </cell>
          <cell r="E36">
            <v>10</v>
          </cell>
          <cell r="F36">
            <v>14</v>
          </cell>
          <cell r="G36">
            <v>15</v>
          </cell>
          <cell r="H36">
            <v>15</v>
          </cell>
          <cell r="I36">
            <v>16</v>
          </cell>
          <cell r="J36">
            <v>16</v>
          </cell>
          <cell r="K36">
            <v>16</v>
          </cell>
          <cell r="L36">
            <v>16</v>
          </cell>
          <cell r="M36">
            <v>17</v>
          </cell>
          <cell r="N36">
            <v>17</v>
          </cell>
          <cell r="O36">
            <v>17</v>
          </cell>
          <cell r="P36">
            <v>18</v>
          </cell>
          <cell r="T36">
            <v>33</v>
          </cell>
          <cell r="U36" t="str">
            <v xml:space="preserve">Industrial </v>
          </cell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4</v>
          </cell>
          <cell r="AI36">
            <v>5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10627</v>
          </cell>
          <cell r="F38">
            <v>10631</v>
          </cell>
          <cell r="G38">
            <v>10618</v>
          </cell>
          <cell r="H38">
            <v>10609</v>
          </cell>
          <cell r="I38">
            <v>10603</v>
          </cell>
          <cell r="J38">
            <v>10600</v>
          </cell>
          <cell r="K38">
            <v>10598</v>
          </cell>
          <cell r="L38">
            <v>10599</v>
          </cell>
          <cell r="M38">
            <v>10600</v>
          </cell>
          <cell r="N38">
            <v>10599</v>
          </cell>
          <cell r="O38">
            <v>10600</v>
          </cell>
          <cell r="P38">
            <v>10605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10628</v>
          </cell>
          <cell r="Y38">
            <v>10627</v>
          </cell>
          <cell r="Z38">
            <v>10621</v>
          </cell>
          <cell r="AA38">
            <v>10614</v>
          </cell>
          <cell r="AB38">
            <v>10610</v>
          </cell>
          <cell r="AC38">
            <v>10611</v>
          </cell>
          <cell r="AD38">
            <v>10611</v>
          </cell>
          <cell r="AE38">
            <v>10610</v>
          </cell>
          <cell r="AF38">
            <v>10607</v>
          </cell>
          <cell r="AG38">
            <v>10604</v>
          </cell>
          <cell r="AH38">
            <v>10602</v>
          </cell>
          <cell r="AI38">
            <v>10602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42585</v>
          </cell>
          <cell r="F41">
            <v>80974</v>
          </cell>
          <cell r="G41">
            <v>112589</v>
          </cell>
          <cell r="H41">
            <v>135743</v>
          </cell>
          <cell r="I41">
            <v>144339</v>
          </cell>
          <cell r="J41">
            <v>151248</v>
          </cell>
          <cell r="K41">
            <v>157364</v>
          </cell>
          <cell r="L41">
            <v>162985</v>
          </cell>
          <cell r="M41">
            <v>168916</v>
          </cell>
          <cell r="N41">
            <v>174663</v>
          </cell>
          <cell r="O41">
            <v>189457</v>
          </cell>
          <cell r="P41">
            <v>220407</v>
          </cell>
          <cell r="T41">
            <v>38</v>
          </cell>
          <cell r="U41" t="str">
            <v>Residential</v>
          </cell>
          <cell r="X41">
            <v>33977</v>
          </cell>
          <cell r="Y41">
            <v>79810</v>
          </cell>
          <cell r="Z41">
            <v>113120</v>
          </cell>
          <cell r="AA41">
            <v>133933</v>
          </cell>
          <cell r="AB41">
            <v>147178</v>
          </cell>
          <cell r="AC41">
            <v>154499</v>
          </cell>
          <cell r="AD41">
            <v>160898</v>
          </cell>
          <cell r="AE41">
            <v>166455</v>
          </cell>
          <cell r="AF41">
            <v>171678</v>
          </cell>
          <cell r="AG41">
            <v>177682</v>
          </cell>
          <cell r="AH41">
            <v>191301</v>
          </cell>
          <cell r="AI41">
            <v>223336</v>
          </cell>
        </row>
        <row r="42">
          <cell r="A42">
            <v>39</v>
          </cell>
          <cell r="B42" t="str">
            <v>Commercial</v>
          </cell>
          <cell r="E42">
            <v>30879</v>
          </cell>
          <cell r="F42">
            <v>61425</v>
          </cell>
          <cell r="G42">
            <v>89759</v>
          </cell>
          <cell r="H42">
            <v>118374</v>
          </cell>
          <cell r="I42">
            <v>139354</v>
          </cell>
          <cell r="J42">
            <v>166976</v>
          </cell>
          <cell r="K42">
            <v>200042</v>
          </cell>
          <cell r="L42">
            <v>232004</v>
          </cell>
          <cell r="M42">
            <v>263491</v>
          </cell>
          <cell r="N42">
            <v>287106</v>
          </cell>
          <cell r="O42">
            <v>307960</v>
          </cell>
          <cell r="P42">
            <v>333243</v>
          </cell>
          <cell r="T42">
            <v>39</v>
          </cell>
          <cell r="U42" t="str">
            <v>Commercial</v>
          </cell>
          <cell r="X42">
            <v>33991</v>
          </cell>
          <cell r="Y42">
            <v>74218</v>
          </cell>
          <cell r="Z42">
            <v>114978</v>
          </cell>
          <cell r="AA42">
            <v>149343</v>
          </cell>
          <cell r="AB42">
            <v>179746</v>
          </cell>
          <cell r="AC42">
            <v>212242</v>
          </cell>
          <cell r="AD42">
            <v>251401</v>
          </cell>
          <cell r="AE42">
            <v>290944</v>
          </cell>
          <cell r="AF42">
            <v>330082</v>
          </cell>
          <cell r="AG42">
            <v>363971</v>
          </cell>
          <cell r="AH42">
            <v>392620</v>
          </cell>
          <cell r="AI42">
            <v>419965</v>
          </cell>
        </row>
        <row r="43">
          <cell r="A43">
            <v>40</v>
          </cell>
          <cell r="B43" t="str">
            <v xml:space="preserve">Industrial </v>
          </cell>
          <cell r="E43">
            <v>14695</v>
          </cell>
          <cell r="F43">
            <v>28246</v>
          </cell>
          <cell r="G43">
            <v>45030</v>
          </cell>
          <cell r="H43">
            <v>61208</v>
          </cell>
          <cell r="I43">
            <v>81788</v>
          </cell>
          <cell r="J43">
            <v>98678</v>
          </cell>
          <cell r="K43">
            <v>114361</v>
          </cell>
          <cell r="L43">
            <v>129933</v>
          </cell>
          <cell r="M43">
            <v>148776</v>
          </cell>
          <cell r="N43">
            <v>168448</v>
          </cell>
          <cell r="O43">
            <v>188653</v>
          </cell>
          <cell r="P43">
            <v>208693</v>
          </cell>
          <cell r="T43">
            <v>40</v>
          </cell>
          <cell r="U43" t="str">
            <v xml:space="preserve">Industrial </v>
          </cell>
          <cell r="X43">
            <v>7875</v>
          </cell>
          <cell r="Y43">
            <v>13399</v>
          </cell>
          <cell r="Z43">
            <v>17443</v>
          </cell>
          <cell r="AA43">
            <v>23239</v>
          </cell>
          <cell r="AB43">
            <v>31902</v>
          </cell>
          <cell r="AC43">
            <v>40681</v>
          </cell>
          <cell r="AD43">
            <v>46165</v>
          </cell>
          <cell r="AE43">
            <v>51486</v>
          </cell>
          <cell r="AF43">
            <v>61744</v>
          </cell>
          <cell r="AG43">
            <v>72720</v>
          </cell>
          <cell r="AH43">
            <v>77951</v>
          </cell>
          <cell r="AI43">
            <v>96196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88159</v>
          </cell>
          <cell r="F45">
            <v>170645</v>
          </cell>
          <cell r="G45">
            <v>247378</v>
          </cell>
          <cell r="H45">
            <v>315325</v>
          </cell>
          <cell r="I45">
            <v>365481</v>
          </cell>
          <cell r="J45">
            <v>416902</v>
          </cell>
          <cell r="K45">
            <v>471767</v>
          </cell>
          <cell r="L45">
            <v>524922</v>
          </cell>
          <cell r="M45">
            <v>581183</v>
          </cell>
          <cell r="N45">
            <v>630217</v>
          </cell>
          <cell r="O45">
            <v>686070</v>
          </cell>
          <cell r="P45">
            <v>762343</v>
          </cell>
          <cell r="T45">
            <v>42</v>
          </cell>
          <cell r="U45" t="str">
            <v>Total Volume</v>
          </cell>
          <cell r="X45">
            <v>75843</v>
          </cell>
          <cell r="Y45">
            <v>167427</v>
          </cell>
          <cell r="Z45">
            <v>245541</v>
          </cell>
          <cell r="AA45">
            <v>306515</v>
          </cell>
          <cell r="AB45">
            <v>358826</v>
          </cell>
          <cell r="AC45">
            <v>407422</v>
          </cell>
          <cell r="AD45">
            <v>458464</v>
          </cell>
          <cell r="AE45">
            <v>508885</v>
          </cell>
          <cell r="AF45">
            <v>563504</v>
          </cell>
          <cell r="AG45">
            <v>614373</v>
          </cell>
          <cell r="AH45">
            <v>661872</v>
          </cell>
          <cell r="AI45">
            <v>739497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- 2017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- 2016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44726</v>
          </cell>
          <cell r="F48">
            <v>84993</v>
          </cell>
          <cell r="G48">
            <v>118128</v>
          </cell>
          <cell r="H48">
            <v>142345</v>
          </cell>
          <cell r="I48">
            <v>151324</v>
          </cell>
          <cell r="J48">
            <v>158561</v>
          </cell>
          <cell r="K48">
            <v>164972</v>
          </cell>
          <cell r="L48">
            <v>170840</v>
          </cell>
          <cell r="M48">
            <v>177050</v>
          </cell>
          <cell r="N48">
            <v>183079</v>
          </cell>
          <cell r="O48">
            <v>198603</v>
          </cell>
          <cell r="P48">
            <v>231124</v>
          </cell>
          <cell r="T48">
            <v>45</v>
          </cell>
          <cell r="U48" t="str">
            <v>Residential</v>
          </cell>
          <cell r="X48">
            <v>36002</v>
          </cell>
          <cell r="Y48">
            <v>84458</v>
          </cell>
          <cell r="Z48">
            <v>119568</v>
          </cell>
          <cell r="AA48">
            <v>141545</v>
          </cell>
          <cell r="AB48">
            <v>155469</v>
          </cell>
          <cell r="AC48">
            <v>163171</v>
          </cell>
          <cell r="AD48">
            <v>169933</v>
          </cell>
          <cell r="AE48">
            <v>175799</v>
          </cell>
          <cell r="AF48">
            <v>181305</v>
          </cell>
          <cell r="AG48">
            <v>187625</v>
          </cell>
          <cell r="AH48">
            <v>201956</v>
          </cell>
          <cell r="AI48">
            <v>235674</v>
          </cell>
        </row>
        <row r="49">
          <cell r="A49">
            <v>46</v>
          </cell>
          <cell r="B49" t="str">
            <v>Commercial</v>
          </cell>
          <cell r="E49">
            <v>32431</v>
          </cell>
          <cell r="F49">
            <v>64471</v>
          </cell>
          <cell r="G49">
            <v>94168</v>
          </cell>
          <cell r="H49">
            <v>124097</v>
          </cell>
          <cell r="I49">
            <v>146012</v>
          </cell>
          <cell r="J49">
            <v>174945</v>
          </cell>
          <cell r="K49">
            <v>209606</v>
          </cell>
          <cell r="L49">
            <v>242970</v>
          </cell>
          <cell r="M49">
            <v>275936</v>
          </cell>
          <cell r="N49">
            <v>300711</v>
          </cell>
          <cell r="O49">
            <v>322594</v>
          </cell>
          <cell r="P49">
            <v>349161</v>
          </cell>
          <cell r="T49">
            <v>46</v>
          </cell>
          <cell r="U49" t="str">
            <v>Commercial</v>
          </cell>
          <cell r="X49">
            <v>36017</v>
          </cell>
          <cell r="Y49">
            <v>78546</v>
          </cell>
          <cell r="Z49">
            <v>121509</v>
          </cell>
          <cell r="AA49">
            <v>157796</v>
          </cell>
          <cell r="AB49">
            <v>189757</v>
          </cell>
          <cell r="AC49">
            <v>223945</v>
          </cell>
          <cell r="AD49">
            <v>265322</v>
          </cell>
          <cell r="AE49">
            <v>307063</v>
          </cell>
          <cell r="AF49">
            <v>348323</v>
          </cell>
          <cell r="AG49">
            <v>383996</v>
          </cell>
          <cell r="AH49">
            <v>414142</v>
          </cell>
          <cell r="AI49">
            <v>442924</v>
          </cell>
        </row>
        <row r="50">
          <cell r="A50">
            <v>47</v>
          </cell>
          <cell r="B50" t="str">
            <v xml:space="preserve">Industrial </v>
          </cell>
          <cell r="E50">
            <v>15434</v>
          </cell>
          <cell r="F50">
            <v>29648</v>
          </cell>
          <cell r="G50">
            <v>47239</v>
          </cell>
          <cell r="H50">
            <v>64160</v>
          </cell>
          <cell r="I50">
            <v>85657</v>
          </cell>
          <cell r="J50">
            <v>103349</v>
          </cell>
          <cell r="K50">
            <v>119788</v>
          </cell>
          <cell r="L50">
            <v>136043</v>
          </cell>
          <cell r="M50">
            <v>155771</v>
          </cell>
          <cell r="N50">
            <v>176410</v>
          </cell>
          <cell r="O50">
            <v>197612</v>
          </cell>
          <cell r="P50">
            <v>218669</v>
          </cell>
          <cell r="T50">
            <v>47</v>
          </cell>
          <cell r="U50" t="str">
            <v xml:space="preserve">Industrial </v>
          </cell>
          <cell r="X50">
            <v>8344</v>
          </cell>
          <cell r="Y50">
            <v>14184</v>
          </cell>
          <cell r="Z50">
            <v>18447</v>
          </cell>
          <cell r="AA50">
            <v>24567</v>
          </cell>
          <cell r="AB50">
            <v>33674</v>
          </cell>
          <cell r="AC50">
            <v>42910</v>
          </cell>
          <cell r="AD50">
            <v>48705</v>
          </cell>
          <cell r="AE50">
            <v>54322</v>
          </cell>
          <cell r="AF50">
            <v>65136</v>
          </cell>
          <cell r="AG50">
            <v>76690</v>
          </cell>
          <cell r="AH50">
            <v>82194</v>
          </cell>
          <cell r="AI50">
            <v>101398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92591</v>
          </cell>
          <cell r="F52">
            <v>179112</v>
          </cell>
          <cell r="G52">
            <v>259535</v>
          </cell>
          <cell r="H52">
            <v>330602</v>
          </cell>
          <cell r="I52">
            <v>382993</v>
          </cell>
          <cell r="J52">
            <v>436855</v>
          </cell>
          <cell r="K52">
            <v>494366</v>
          </cell>
          <cell r="L52">
            <v>549853</v>
          </cell>
          <cell r="M52">
            <v>608757</v>
          </cell>
          <cell r="N52">
            <v>660200</v>
          </cell>
          <cell r="O52">
            <v>718809</v>
          </cell>
          <cell r="P52">
            <v>798954</v>
          </cell>
          <cell r="T52">
            <v>49</v>
          </cell>
          <cell r="U52" t="str">
            <v>Total Volume</v>
          </cell>
          <cell r="W52">
            <v>0</v>
          </cell>
          <cell r="X52">
            <v>80363</v>
          </cell>
          <cell r="Y52">
            <v>177188</v>
          </cell>
          <cell r="Z52">
            <v>259524</v>
          </cell>
          <cell r="AA52">
            <v>323908</v>
          </cell>
          <cell r="AB52">
            <v>378900</v>
          </cell>
          <cell r="AC52">
            <v>430026</v>
          </cell>
          <cell r="AD52">
            <v>483960</v>
          </cell>
          <cell r="AE52">
            <v>537184</v>
          </cell>
          <cell r="AF52">
            <v>594764</v>
          </cell>
          <cell r="AG52">
            <v>648311</v>
          </cell>
          <cell r="AH52">
            <v>698292</v>
          </cell>
          <cell r="AI52">
            <v>779996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10635</v>
          </cell>
          <cell r="F55">
            <v>10641</v>
          </cell>
          <cell r="G55">
            <v>10640</v>
          </cell>
          <cell r="H55">
            <v>10639</v>
          </cell>
          <cell r="I55">
            <v>10640</v>
          </cell>
          <cell r="J55">
            <v>10661</v>
          </cell>
          <cell r="K55">
            <v>10674</v>
          </cell>
          <cell r="L55">
            <v>10686</v>
          </cell>
          <cell r="M55">
            <v>10696</v>
          </cell>
          <cell r="N55">
            <v>10705</v>
          </cell>
          <cell r="O55">
            <v>10707</v>
          </cell>
          <cell r="P55">
            <v>10711</v>
          </cell>
        </row>
        <row r="56">
          <cell r="A56">
            <v>53</v>
          </cell>
          <cell r="B56" t="str">
            <v>Cumulative Budget YTD Volume (Mcfs)</v>
          </cell>
          <cell r="E56">
            <v>92003</v>
          </cell>
          <cell r="F56">
            <v>188886</v>
          </cell>
          <cell r="G56">
            <v>280863</v>
          </cell>
          <cell r="H56">
            <v>346212</v>
          </cell>
          <cell r="I56">
            <v>400323</v>
          </cell>
          <cell r="J56">
            <v>450711</v>
          </cell>
          <cell r="K56">
            <v>506576</v>
          </cell>
          <cell r="L56">
            <v>567806</v>
          </cell>
          <cell r="M56">
            <v>625553</v>
          </cell>
          <cell r="N56">
            <v>674066</v>
          </cell>
          <cell r="O56">
            <v>726166</v>
          </cell>
          <cell r="P56">
            <v>801490</v>
          </cell>
        </row>
        <row r="57">
          <cell r="A57">
            <v>54</v>
          </cell>
          <cell r="B57" t="str">
            <v>Cumulative YTD Budget Volume (Dts) * 1.035</v>
          </cell>
          <cell r="E57">
            <v>95223.104999999996</v>
          </cell>
          <cell r="F57">
            <v>195497.01</v>
          </cell>
          <cell r="G57">
            <v>290693.20500000002</v>
          </cell>
          <cell r="H57">
            <v>358329.42000000004</v>
          </cell>
          <cell r="I57">
            <v>414334.30500000005</v>
          </cell>
          <cell r="J57">
            <v>466485.88500000007</v>
          </cell>
          <cell r="K57">
            <v>524306.16</v>
          </cell>
          <cell r="L57">
            <v>587679.21000000008</v>
          </cell>
          <cell r="M57">
            <v>647447.3550000001</v>
          </cell>
          <cell r="N57">
            <v>697658.31</v>
          </cell>
          <cell r="O57">
            <v>751581.81</v>
          </cell>
          <cell r="P57">
            <v>829542.15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e.Etc"/>
      <sheetName val="Customers Act vs Budget"/>
      <sheetName val="CustomersActvsAct"/>
      <sheetName val="VolumesActvsAct"/>
      <sheetName val="Volumes Act vs Budget"/>
      <sheetName val="RegCust"/>
      <sheetName val="RegVol"/>
      <sheetName val="UnregCust"/>
      <sheetName val="UnregVol"/>
      <sheetName val="Utility stats Q1 2018"/>
      <sheetName val="Delaware"/>
      <sheetName val="Maryland"/>
      <sheetName val="Sandpiper"/>
      <sheetName val="CFG"/>
      <sheetName val="FPUNG"/>
      <sheetName val="ESNG"/>
      <sheetName val="Electric"/>
      <sheetName val="SharpDelmarva"/>
      <sheetName val="AEO"/>
      <sheetName val="PESCO"/>
      <sheetName val="FloridaPropane"/>
    </sheetNames>
    <sheetDataSet>
      <sheetData sheetId="0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2018 and 2017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2018</v>
          </cell>
          <cell r="J14" t="str">
            <v>Actual customers for the Month of January 2017</v>
          </cell>
          <cell r="K14" t="str">
            <v>Average customers for the One Month ended January 31, 2018</v>
          </cell>
          <cell r="L14" t="str">
            <v>Average customers for the One Month ended January 31, 2017</v>
          </cell>
          <cell r="M14" t="str">
            <v>Volume for the Month of January 2018</v>
          </cell>
          <cell r="N14" t="str">
            <v>Volume for the Month of January 2017</v>
          </cell>
          <cell r="O14" t="str">
            <v>Volume for the One Month ended January 31, 2018</v>
          </cell>
          <cell r="P14" t="str">
            <v>Volume for the One Month ended January 31, 2017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2018 and 2017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2018</v>
          </cell>
          <cell r="J15" t="str">
            <v>Actual customers for the Month of February 2017</v>
          </cell>
          <cell r="K15" t="str">
            <v>Average customers for the Two Months ended February 28, 2018</v>
          </cell>
          <cell r="L15" t="str">
            <v>Average customers for the Two Months ended February 28, 2017</v>
          </cell>
          <cell r="M15" t="str">
            <v>Volume for the Month of February 2018</v>
          </cell>
          <cell r="N15" t="str">
            <v>Volume for the Month of February 2017</v>
          </cell>
          <cell r="O15" t="str">
            <v>Volume for the Two Months ended February 28, 2018</v>
          </cell>
          <cell r="P15" t="str">
            <v>Volume for the Two Months ended February 28, 2017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2018 and 2017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2018</v>
          </cell>
          <cell r="J16" t="str">
            <v>Actual customers for the Month of March 2017</v>
          </cell>
          <cell r="K16" t="str">
            <v>Average customers for the Three Months ended March 31, 2018</v>
          </cell>
          <cell r="L16" t="str">
            <v>Average customers for the Three Months ended March 31, 2017</v>
          </cell>
          <cell r="M16" t="str">
            <v>Volume for the Month of March 2018</v>
          </cell>
          <cell r="N16" t="str">
            <v>Volume for the Month of March 2017</v>
          </cell>
          <cell r="O16" t="str">
            <v>Volume for the Three Months ended March 31, 2018</v>
          </cell>
          <cell r="P16" t="str">
            <v>Volume for the Three Months ended March 31, 2017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2018 and 2017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2018</v>
          </cell>
          <cell r="J17" t="str">
            <v>Actual customers for the Month of April 2017</v>
          </cell>
          <cell r="K17" t="str">
            <v>Average customers for the Four Months ended April 30, 2018</v>
          </cell>
          <cell r="L17" t="str">
            <v>Average customers for the Four Months ended April 30, 2017</v>
          </cell>
          <cell r="M17" t="str">
            <v>Volume for the Month of April 2018</v>
          </cell>
          <cell r="N17" t="str">
            <v>Volume for the Month of April 2017</v>
          </cell>
          <cell r="O17" t="str">
            <v>Volume for the Four Months ended April 30, 2018</v>
          </cell>
          <cell r="P17" t="str">
            <v>Volume for the Four Months ended April 30, 2017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2018 and 2017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2018</v>
          </cell>
          <cell r="J18" t="str">
            <v>Actual customers for the Month of May 2017</v>
          </cell>
          <cell r="K18" t="str">
            <v>Average customers for the Five Months ended May 31, 2018</v>
          </cell>
          <cell r="L18" t="str">
            <v>Average customers for the Five Months ended May 31, 2017</v>
          </cell>
          <cell r="M18" t="str">
            <v>Volume for the Month of May 2018</v>
          </cell>
          <cell r="N18" t="str">
            <v>Volume for the Month of May 2017</v>
          </cell>
          <cell r="O18" t="str">
            <v>Volume for the Five Months ended May 31, 2018</v>
          </cell>
          <cell r="P18" t="str">
            <v>Volume for the Five Months ended May 31, 2017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2018 and 2017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2018</v>
          </cell>
          <cell r="J19" t="str">
            <v>Actual customers for the Month of June 2017</v>
          </cell>
          <cell r="K19" t="str">
            <v>Average customers for the Six Months ended June 30, 2018</v>
          </cell>
          <cell r="L19" t="str">
            <v>Average customers for the Six Months ended June 30, 2017</v>
          </cell>
          <cell r="M19" t="str">
            <v>Volume for the Month of June 2018</v>
          </cell>
          <cell r="N19" t="str">
            <v>Volume for the Month of June 2017</v>
          </cell>
          <cell r="O19" t="str">
            <v>Volume for the Six Months ended June 30, 2018</v>
          </cell>
          <cell r="P19" t="str">
            <v>Volume for the Six Months ended June 30, 2017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2018 and 2017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2018</v>
          </cell>
          <cell r="J20" t="str">
            <v>Actual customers for the Month of July 2017</v>
          </cell>
          <cell r="K20" t="str">
            <v>Average customers for the Seven Months ended July 31, 2018</v>
          </cell>
          <cell r="L20" t="str">
            <v>Average customers for the Seven Months ended July 31, 2017</v>
          </cell>
          <cell r="M20" t="str">
            <v>Volume for the Month of July 2018</v>
          </cell>
          <cell r="N20" t="str">
            <v>Volume for the Month of July 2017</v>
          </cell>
          <cell r="O20" t="str">
            <v>Volume for the Seven Months ended July 31, 2018</v>
          </cell>
          <cell r="P20" t="str">
            <v>Volume for the Seven Months ended July 31, 2017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2018 and 2017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2018</v>
          </cell>
          <cell r="J21" t="str">
            <v>Actual customers for the Month of August 2017</v>
          </cell>
          <cell r="K21" t="str">
            <v>Average customers for the Eight Months ended August 31, 2018</v>
          </cell>
          <cell r="L21" t="str">
            <v>Average customers for the Eight Months ended August 31, 2017</v>
          </cell>
          <cell r="M21" t="str">
            <v>Volume for the Month of August 2018</v>
          </cell>
          <cell r="N21" t="str">
            <v>Volume for the Month of August 2017</v>
          </cell>
          <cell r="O21" t="str">
            <v>Volume for the Eight Months ended August 31, 2018</v>
          </cell>
          <cell r="P21" t="str">
            <v>Volume for the Eight Months ended August 31, 2017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2018 and 2017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2018</v>
          </cell>
          <cell r="J22" t="str">
            <v>Actual customers for the Month of September 2017</v>
          </cell>
          <cell r="K22" t="str">
            <v>Average customers for the Nine Months ended September 30, 2018</v>
          </cell>
          <cell r="L22" t="str">
            <v>Average customers for the Nine Months ended September 30, 2017</v>
          </cell>
          <cell r="M22" t="str">
            <v>Volume for the Month of September 2018</v>
          </cell>
          <cell r="N22" t="str">
            <v>Volume for the Month of September 2017</v>
          </cell>
          <cell r="O22" t="str">
            <v>Volume for the Nine Months ended September 30, 2018</v>
          </cell>
          <cell r="P22" t="str">
            <v>Volume for the Nine Months ended September 30, 2017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2018 and 2017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2018</v>
          </cell>
          <cell r="J23" t="str">
            <v>Actual customers for the Month of October 2017</v>
          </cell>
          <cell r="K23" t="str">
            <v>Average customers for the Ten Months ended October 31, 2018</v>
          </cell>
          <cell r="L23" t="str">
            <v>Average customers for the Ten Months ended October 31, 2017</v>
          </cell>
          <cell r="M23" t="str">
            <v>Volume for the Month of October 2018</v>
          </cell>
          <cell r="N23" t="str">
            <v>Volume for the Month of October 2017</v>
          </cell>
          <cell r="O23" t="str">
            <v>Volume for the Ten Months ended October 31, 2018</v>
          </cell>
          <cell r="P23" t="str">
            <v>Volume for the Ten Months ended October 31, 2017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2018 and 2017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2018</v>
          </cell>
          <cell r="J24" t="str">
            <v>Actual customers for the Month of November 2017</v>
          </cell>
          <cell r="K24" t="str">
            <v>Average customers for the Eleven Months ended November 30, 2018</v>
          </cell>
          <cell r="L24" t="str">
            <v>Average customers for the Eleven Months ended November 30, 2017</v>
          </cell>
          <cell r="M24" t="str">
            <v>Volume for the Month of November 2018</v>
          </cell>
          <cell r="N24" t="str">
            <v>Volume for the Month of November 2017</v>
          </cell>
          <cell r="O24" t="str">
            <v>Volume for the Eleven Months ended November 30, 2018</v>
          </cell>
          <cell r="P24" t="str">
            <v>Volume for the Eleven Months ended November 30, 2017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2018 and 2017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2018</v>
          </cell>
          <cell r="J25" t="str">
            <v>Actual customers for the Month of December 2017</v>
          </cell>
          <cell r="K25" t="str">
            <v>Average customers for the Twelve Months ended December 31, 2018</v>
          </cell>
          <cell r="L25" t="str">
            <v>Average customers for the Twelve Months ended December 31, 2017</v>
          </cell>
          <cell r="M25" t="str">
            <v>Volume for the Month of December 2018</v>
          </cell>
          <cell r="N25" t="str">
            <v>Volume for the Month of December 2017</v>
          </cell>
          <cell r="O25" t="str">
            <v>Volume for the Twelve Months ended December 31, 2018</v>
          </cell>
          <cell r="P25" t="str">
            <v>Volume for the Twelve Months ended December 31, 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G3" t="str">
            <v>For the Twelve Months ended December 31, 2018 and 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50674.916666666664</v>
          </cell>
          <cell r="E5">
            <v>50133</v>
          </cell>
          <cell r="F5">
            <v>50319</v>
          </cell>
          <cell r="G5">
            <v>50396</v>
          </cell>
          <cell r="H5">
            <v>50486</v>
          </cell>
          <cell r="I5">
            <v>50384</v>
          </cell>
          <cell r="J5">
            <v>50307</v>
          </cell>
          <cell r="K5">
            <v>50283</v>
          </cell>
          <cell r="L5">
            <v>50379</v>
          </cell>
          <cell r="M5">
            <v>50619</v>
          </cell>
          <cell r="N5">
            <v>50914</v>
          </cell>
          <cell r="O5">
            <v>51648</v>
          </cell>
          <cell r="P5">
            <v>52231</v>
          </cell>
          <cell r="T5">
            <v>2</v>
          </cell>
          <cell r="U5" t="str">
            <v>Residential</v>
          </cell>
          <cell r="V5">
            <v>48171</v>
          </cell>
          <cell r="W5">
            <v>578048</v>
          </cell>
          <cell r="X5">
            <v>47631</v>
          </cell>
          <cell r="Y5">
            <v>47841</v>
          </cell>
          <cell r="Z5">
            <v>48000</v>
          </cell>
          <cell r="AA5">
            <v>48074</v>
          </cell>
          <cell r="AB5">
            <v>47891</v>
          </cell>
          <cell r="AC5">
            <v>47715</v>
          </cell>
          <cell r="AD5">
            <v>47669</v>
          </cell>
          <cell r="AE5">
            <v>47883</v>
          </cell>
          <cell r="AF5">
            <v>48172</v>
          </cell>
          <cell r="AG5">
            <v>48471</v>
          </cell>
          <cell r="AH5">
            <v>48987</v>
          </cell>
          <cell r="AI5">
            <v>49714</v>
          </cell>
        </row>
        <row r="6">
          <cell r="A6">
            <v>3</v>
          </cell>
          <cell r="B6" t="str">
            <v>Commercial</v>
          </cell>
          <cell r="D6">
            <v>4030.4166666666665</v>
          </cell>
          <cell r="E6">
            <v>4075</v>
          </cell>
          <cell r="F6">
            <v>4085</v>
          </cell>
          <cell r="G6">
            <v>4097</v>
          </cell>
          <cell r="H6">
            <v>4084</v>
          </cell>
          <cell r="I6">
            <v>4029</v>
          </cell>
          <cell r="J6">
            <v>3992</v>
          </cell>
          <cell r="K6">
            <v>3976</v>
          </cell>
          <cell r="L6">
            <v>3964</v>
          </cell>
          <cell r="M6">
            <v>3957</v>
          </cell>
          <cell r="N6">
            <v>3964</v>
          </cell>
          <cell r="O6">
            <v>4025</v>
          </cell>
          <cell r="P6">
            <v>4117</v>
          </cell>
          <cell r="T6">
            <v>3</v>
          </cell>
          <cell r="U6" t="str">
            <v>Commercial</v>
          </cell>
          <cell r="V6">
            <v>3941</v>
          </cell>
          <cell r="W6">
            <v>47287</v>
          </cell>
          <cell r="X6">
            <v>3994</v>
          </cell>
          <cell r="Y6">
            <v>4002</v>
          </cell>
          <cell r="Z6">
            <v>4007</v>
          </cell>
          <cell r="AA6">
            <v>3979</v>
          </cell>
          <cell r="AB6">
            <v>3923</v>
          </cell>
          <cell r="AC6">
            <v>3900</v>
          </cell>
          <cell r="AD6">
            <v>3881</v>
          </cell>
          <cell r="AE6">
            <v>3882</v>
          </cell>
          <cell r="AF6">
            <v>3882</v>
          </cell>
          <cell r="AG6">
            <v>3874</v>
          </cell>
          <cell r="AH6">
            <v>3941</v>
          </cell>
          <cell r="AI6">
            <v>4022</v>
          </cell>
        </row>
        <row r="7">
          <cell r="A7">
            <v>4</v>
          </cell>
          <cell r="B7" t="str">
            <v xml:space="preserve">Industrial </v>
          </cell>
          <cell r="D7">
            <v>91.166666666666671</v>
          </cell>
          <cell r="E7">
            <v>88</v>
          </cell>
          <cell r="F7">
            <v>89</v>
          </cell>
          <cell r="G7">
            <v>89</v>
          </cell>
          <cell r="H7">
            <v>90</v>
          </cell>
          <cell r="I7">
            <v>91</v>
          </cell>
          <cell r="J7">
            <v>91</v>
          </cell>
          <cell r="K7">
            <v>91</v>
          </cell>
          <cell r="L7">
            <v>91</v>
          </cell>
          <cell r="M7">
            <v>93</v>
          </cell>
          <cell r="N7">
            <v>94</v>
          </cell>
          <cell r="O7">
            <v>94</v>
          </cell>
          <cell r="P7">
            <v>93</v>
          </cell>
          <cell r="T7">
            <v>4</v>
          </cell>
          <cell r="U7" t="str">
            <v xml:space="preserve">Industrial </v>
          </cell>
          <cell r="V7">
            <v>88</v>
          </cell>
          <cell r="W7">
            <v>1056</v>
          </cell>
          <cell r="X7">
            <v>87</v>
          </cell>
          <cell r="Y7">
            <v>87</v>
          </cell>
          <cell r="Z7">
            <v>87</v>
          </cell>
          <cell r="AA7">
            <v>88</v>
          </cell>
          <cell r="AB7">
            <v>89</v>
          </cell>
          <cell r="AC7">
            <v>85</v>
          </cell>
          <cell r="AD7">
            <v>86</v>
          </cell>
          <cell r="AE7">
            <v>86</v>
          </cell>
          <cell r="AF7">
            <v>87</v>
          </cell>
          <cell r="AG7">
            <v>91</v>
          </cell>
          <cell r="AH7">
            <v>88</v>
          </cell>
          <cell r="AI7">
            <v>95</v>
          </cell>
        </row>
        <row r="8">
          <cell r="A8">
            <v>5</v>
          </cell>
          <cell r="B8" t="str">
            <v>Other</v>
          </cell>
          <cell r="D8">
            <v>4.666666666666667</v>
          </cell>
          <cell r="E8">
            <v>5</v>
          </cell>
          <cell r="F8">
            <v>7</v>
          </cell>
          <cell r="G8">
            <v>5</v>
          </cell>
          <cell r="H8">
            <v>5</v>
          </cell>
          <cell r="I8">
            <v>6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5</v>
          </cell>
          <cell r="O8">
            <v>2</v>
          </cell>
          <cell r="P8">
            <v>5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55</v>
          </cell>
          <cell r="X8">
            <v>5</v>
          </cell>
          <cell r="Y8">
            <v>5</v>
          </cell>
          <cell r="Z8">
            <v>5</v>
          </cell>
          <cell r="AA8">
            <v>5</v>
          </cell>
          <cell r="AB8">
            <v>7</v>
          </cell>
          <cell r="AC8">
            <v>9</v>
          </cell>
          <cell r="AD8">
            <v>5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6</v>
          </cell>
        </row>
        <row r="9">
          <cell r="A9">
            <v>6</v>
          </cell>
          <cell r="B9" t="str">
            <v>Total customers</v>
          </cell>
          <cell r="D9">
            <v>54801.166666666657</v>
          </cell>
          <cell r="E9">
            <v>54301</v>
          </cell>
          <cell r="F9">
            <v>54500</v>
          </cell>
          <cell r="G9">
            <v>54587</v>
          </cell>
          <cell r="H9">
            <v>54665</v>
          </cell>
          <cell r="I9">
            <v>54510</v>
          </cell>
          <cell r="J9">
            <v>54392</v>
          </cell>
          <cell r="K9">
            <v>54352</v>
          </cell>
          <cell r="L9">
            <v>54440</v>
          </cell>
          <cell r="M9">
            <v>54675</v>
          </cell>
          <cell r="N9">
            <v>54977</v>
          </cell>
          <cell r="O9">
            <v>55769</v>
          </cell>
          <cell r="P9">
            <v>56446</v>
          </cell>
          <cell r="T9">
            <v>6</v>
          </cell>
          <cell r="U9" t="str">
            <v>Total customers</v>
          </cell>
          <cell r="V9">
            <v>52205</v>
          </cell>
          <cell r="W9">
            <v>626446</v>
          </cell>
          <cell r="X9">
            <v>51717</v>
          </cell>
          <cell r="Y9">
            <v>51935</v>
          </cell>
          <cell r="Z9">
            <v>52099</v>
          </cell>
          <cell r="AA9">
            <v>52146</v>
          </cell>
          <cell r="AB9">
            <v>51910</v>
          </cell>
          <cell r="AC9">
            <v>51709</v>
          </cell>
          <cell r="AD9">
            <v>51641</v>
          </cell>
          <cell r="AE9">
            <v>51853</v>
          </cell>
          <cell r="AF9">
            <v>52143</v>
          </cell>
          <cell r="AG9">
            <v>52438</v>
          </cell>
          <cell r="AH9">
            <v>53018</v>
          </cell>
          <cell r="AI9">
            <v>53837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3123423</v>
          </cell>
          <cell r="E12">
            <v>703234</v>
          </cell>
          <cell r="F12">
            <v>539169</v>
          </cell>
          <cell r="G12">
            <v>436062</v>
          </cell>
          <cell r="H12">
            <v>377152</v>
          </cell>
          <cell r="I12">
            <v>138629</v>
          </cell>
          <cell r="J12">
            <v>55888</v>
          </cell>
          <cell r="K12">
            <v>47067</v>
          </cell>
          <cell r="L12">
            <v>40751</v>
          </cell>
          <cell r="M12">
            <v>43203</v>
          </cell>
          <cell r="N12">
            <v>60708</v>
          </cell>
          <cell r="O12">
            <v>216049</v>
          </cell>
          <cell r="P12">
            <v>465511</v>
          </cell>
          <cell r="T12">
            <v>9</v>
          </cell>
          <cell r="U12" t="str">
            <v>Residential</v>
          </cell>
          <cell r="W12">
            <v>2512861</v>
          </cell>
          <cell r="X12">
            <v>532570</v>
          </cell>
          <cell r="Y12">
            <v>432647</v>
          </cell>
          <cell r="Z12">
            <v>390919</v>
          </cell>
          <cell r="AA12">
            <v>267835</v>
          </cell>
          <cell r="AB12">
            <v>99855</v>
          </cell>
          <cell r="AC12">
            <v>64276</v>
          </cell>
          <cell r="AD12">
            <v>45115</v>
          </cell>
          <cell r="AE12">
            <v>42375</v>
          </cell>
          <cell r="AF12">
            <v>45126</v>
          </cell>
          <cell r="AG12">
            <v>50795</v>
          </cell>
          <cell r="AH12">
            <v>163220</v>
          </cell>
          <cell r="AI12">
            <v>378128</v>
          </cell>
        </row>
        <row r="13">
          <cell r="A13">
            <v>10</v>
          </cell>
          <cell r="B13" t="str">
            <v>Commercial</v>
          </cell>
          <cell r="D13">
            <v>2413774</v>
          </cell>
          <cell r="E13">
            <v>469375</v>
          </cell>
          <cell r="F13">
            <v>331447</v>
          </cell>
          <cell r="G13">
            <v>326454</v>
          </cell>
          <cell r="H13">
            <v>232321</v>
          </cell>
          <cell r="I13">
            <v>114099</v>
          </cell>
          <cell r="J13">
            <v>87388</v>
          </cell>
          <cell r="K13">
            <v>73839</v>
          </cell>
          <cell r="L13">
            <v>77774</v>
          </cell>
          <cell r="M13">
            <v>76840</v>
          </cell>
          <cell r="N13">
            <v>107166</v>
          </cell>
          <cell r="O13">
            <v>208965</v>
          </cell>
          <cell r="P13">
            <v>308106</v>
          </cell>
          <cell r="T13">
            <v>10</v>
          </cell>
          <cell r="U13" t="str">
            <v>Commercial</v>
          </cell>
          <cell r="W13">
            <v>2015952</v>
          </cell>
          <cell r="X13">
            <v>330553</v>
          </cell>
          <cell r="Y13">
            <v>282389</v>
          </cell>
          <cell r="Z13">
            <v>281338</v>
          </cell>
          <cell r="AA13">
            <v>161810</v>
          </cell>
          <cell r="AB13">
            <v>104997</v>
          </cell>
          <cell r="AC13">
            <v>90433</v>
          </cell>
          <cell r="AD13">
            <v>70404</v>
          </cell>
          <cell r="AE13">
            <v>77275</v>
          </cell>
          <cell r="AF13">
            <v>84650</v>
          </cell>
          <cell r="AG13">
            <v>92212</v>
          </cell>
          <cell r="AH13">
            <v>165759</v>
          </cell>
          <cell r="AI13">
            <v>274132</v>
          </cell>
        </row>
        <row r="14">
          <cell r="A14">
            <v>11</v>
          </cell>
          <cell r="B14" t="str">
            <v xml:space="preserve">Industrial </v>
          </cell>
          <cell r="D14">
            <v>3195092</v>
          </cell>
          <cell r="E14">
            <v>321487</v>
          </cell>
          <cell r="F14">
            <v>273049</v>
          </cell>
          <cell r="G14">
            <v>298930</v>
          </cell>
          <cell r="H14">
            <v>267843</v>
          </cell>
          <cell r="I14">
            <v>245032</v>
          </cell>
          <cell r="J14">
            <v>234419</v>
          </cell>
          <cell r="K14">
            <v>215710</v>
          </cell>
          <cell r="L14">
            <v>238644</v>
          </cell>
          <cell r="M14">
            <v>231960</v>
          </cell>
          <cell r="N14">
            <v>284945</v>
          </cell>
          <cell r="O14">
            <v>282386</v>
          </cell>
          <cell r="P14">
            <v>300687</v>
          </cell>
          <cell r="T14">
            <v>11</v>
          </cell>
          <cell r="U14" t="str">
            <v xml:space="preserve">Industrial </v>
          </cell>
          <cell r="W14">
            <v>2974686</v>
          </cell>
          <cell r="X14">
            <v>280946</v>
          </cell>
          <cell r="Y14">
            <v>261329</v>
          </cell>
          <cell r="Z14">
            <v>288554</v>
          </cell>
          <cell r="AA14">
            <v>226739</v>
          </cell>
          <cell r="AB14">
            <v>241469</v>
          </cell>
          <cell r="AC14">
            <v>236804</v>
          </cell>
          <cell r="AD14">
            <v>190691</v>
          </cell>
          <cell r="AE14">
            <v>223615</v>
          </cell>
          <cell r="AF14">
            <v>263389</v>
          </cell>
          <cell r="AG14">
            <v>267396</v>
          </cell>
          <cell r="AH14">
            <v>238073</v>
          </cell>
          <cell r="AI14">
            <v>255681</v>
          </cell>
        </row>
        <row r="15">
          <cell r="A15">
            <v>12</v>
          </cell>
          <cell r="B15" t="str">
            <v>Other</v>
          </cell>
          <cell r="D15">
            <v>76915</v>
          </cell>
          <cell r="E15">
            <v>4163</v>
          </cell>
          <cell r="F15">
            <v>3534</v>
          </cell>
          <cell r="G15">
            <v>4268</v>
          </cell>
          <cell r="H15">
            <v>4815</v>
          </cell>
          <cell r="I15">
            <v>6471</v>
          </cell>
          <cell r="J15">
            <v>5747</v>
          </cell>
          <cell r="K15">
            <v>8393</v>
          </cell>
          <cell r="L15">
            <v>9286</v>
          </cell>
          <cell r="M15">
            <v>7853</v>
          </cell>
          <cell r="N15">
            <v>8544</v>
          </cell>
          <cell r="O15">
            <v>6734</v>
          </cell>
          <cell r="P15">
            <v>7107</v>
          </cell>
          <cell r="T15">
            <v>12</v>
          </cell>
          <cell r="U15" t="str">
            <v xml:space="preserve">Interruptible </v>
          </cell>
          <cell r="W15">
            <v>91114</v>
          </cell>
          <cell r="X15">
            <v>3839</v>
          </cell>
          <cell r="Y15">
            <v>2625</v>
          </cell>
          <cell r="Z15">
            <v>3581</v>
          </cell>
          <cell r="AA15">
            <v>3651</v>
          </cell>
          <cell r="AB15">
            <v>5382</v>
          </cell>
          <cell r="AC15">
            <v>10315</v>
          </cell>
          <cell r="AD15">
            <v>11211</v>
          </cell>
          <cell r="AE15">
            <v>14827</v>
          </cell>
          <cell r="AF15">
            <v>7918</v>
          </cell>
          <cell r="AG15">
            <v>12246</v>
          </cell>
          <cell r="AH15">
            <v>9289</v>
          </cell>
          <cell r="AI15">
            <v>6230</v>
          </cell>
        </row>
        <row r="16">
          <cell r="A16">
            <v>13</v>
          </cell>
          <cell r="B16" t="str">
            <v>Total Volume</v>
          </cell>
          <cell r="D16">
            <v>8809204</v>
          </cell>
          <cell r="E16">
            <v>1498259</v>
          </cell>
          <cell r="F16">
            <v>1147199</v>
          </cell>
          <cell r="G16">
            <v>1065714</v>
          </cell>
          <cell r="H16">
            <v>882131</v>
          </cell>
          <cell r="I16">
            <v>504231</v>
          </cell>
          <cell r="J16">
            <v>383442</v>
          </cell>
          <cell r="K16">
            <v>345009</v>
          </cell>
          <cell r="L16">
            <v>366455</v>
          </cell>
          <cell r="M16">
            <v>359856</v>
          </cell>
          <cell r="N16">
            <v>461363</v>
          </cell>
          <cell r="O16">
            <v>714134</v>
          </cell>
          <cell r="P16">
            <v>1081411</v>
          </cell>
          <cell r="T16">
            <v>13</v>
          </cell>
          <cell r="U16" t="str">
            <v>Total Deliveries</v>
          </cell>
          <cell r="W16">
            <v>7594613</v>
          </cell>
          <cell r="X16">
            <v>1147908</v>
          </cell>
          <cell r="Y16">
            <v>978990</v>
          </cell>
          <cell r="Z16">
            <v>964392</v>
          </cell>
          <cell r="AA16">
            <v>660035</v>
          </cell>
          <cell r="AB16">
            <v>451703</v>
          </cell>
          <cell r="AC16">
            <v>401828</v>
          </cell>
          <cell r="AD16">
            <v>317421</v>
          </cell>
          <cell r="AE16">
            <v>358092</v>
          </cell>
          <cell r="AF16">
            <v>401083</v>
          </cell>
          <cell r="AG16">
            <v>422649</v>
          </cell>
          <cell r="AH16">
            <v>576341</v>
          </cell>
          <cell r="AI16">
            <v>914171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3265018</v>
          </cell>
          <cell r="E21">
            <v>738224</v>
          </cell>
          <cell r="F21">
            <v>563938</v>
          </cell>
          <cell r="G21">
            <v>456385</v>
          </cell>
          <cell r="H21">
            <v>393229</v>
          </cell>
          <cell r="I21">
            <v>144551</v>
          </cell>
          <cell r="J21">
            <v>58276</v>
          </cell>
          <cell r="K21">
            <v>49195</v>
          </cell>
          <cell r="L21">
            <v>42450</v>
          </cell>
          <cell r="M21">
            <v>45128</v>
          </cell>
          <cell r="N21">
            <v>63151</v>
          </cell>
          <cell r="O21">
            <v>225010</v>
          </cell>
          <cell r="P21">
            <v>485481</v>
          </cell>
          <cell r="T21">
            <v>18</v>
          </cell>
          <cell r="U21" t="str">
            <v>Residential</v>
          </cell>
          <cell r="W21">
            <v>2635109</v>
          </cell>
          <cell r="X21">
            <v>559342</v>
          </cell>
          <cell r="Y21">
            <v>453808</v>
          </cell>
          <cell r="Z21">
            <v>409718</v>
          </cell>
          <cell r="AA21">
            <v>280131</v>
          </cell>
          <cell r="AB21">
            <v>104305</v>
          </cell>
          <cell r="AC21">
            <v>67140</v>
          </cell>
          <cell r="AD21">
            <v>47291</v>
          </cell>
          <cell r="AE21">
            <v>44234</v>
          </cell>
          <cell r="AF21">
            <v>47246</v>
          </cell>
          <cell r="AG21">
            <v>53291</v>
          </cell>
          <cell r="AH21">
            <v>171277</v>
          </cell>
          <cell r="AI21">
            <v>397326</v>
          </cell>
        </row>
        <row r="22">
          <cell r="A22">
            <v>19</v>
          </cell>
          <cell r="B22" t="str">
            <v>Commercial</v>
          </cell>
          <cell r="D22">
            <v>2522283</v>
          </cell>
          <cell r="E22">
            <v>492729</v>
          </cell>
          <cell r="F22">
            <v>346674</v>
          </cell>
          <cell r="G22">
            <v>341669</v>
          </cell>
          <cell r="H22">
            <v>242224</v>
          </cell>
          <cell r="I22">
            <v>118973</v>
          </cell>
          <cell r="J22">
            <v>91121</v>
          </cell>
          <cell r="K22">
            <v>77177</v>
          </cell>
          <cell r="L22">
            <v>81017</v>
          </cell>
          <cell r="M22">
            <v>80264</v>
          </cell>
          <cell r="N22">
            <v>111479</v>
          </cell>
          <cell r="O22">
            <v>217632</v>
          </cell>
          <cell r="P22">
            <v>321324</v>
          </cell>
          <cell r="T22">
            <v>19</v>
          </cell>
          <cell r="U22" t="str">
            <v>Commercial</v>
          </cell>
          <cell r="W22">
            <v>2113441</v>
          </cell>
          <cell r="X22">
            <v>347170</v>
          </cell>
          <cell r="Y22">
            <v>296201</v>
          </cell>
          <cell r="Z22">
            <v>294868</v>
          </cell>
          <cell r="AA22">
            <v>169239</v>
          </cell>
          <cell r="AB22">
            <v>109676</v>
          </cell>
          <cell r="AC22">
            <v>94463</v>
          </cell>
          <cell r="AD22">
            <v>73800</v>
          </cell>
          <cell r="AE22">
            <v>80664</v>
          </cell>
          <cell r="AF22">
            <v>88626</v>
          </cell>
          <cell r="AG22">
            <v>96743</v>
          </cell>
          <cell r="AH22">
            <v>173941</v>
          </cell>
          <cell r="AI22">
            <v>288050</v>
          </cell>
        </row>
        <row r="23">
          <cell r="A23">
            <v>20</v>
          </cell>
          <cell r="B23" t="str">
            <v xml:space="preserve">Industrial </v>
          </cell>
          <cell r="D23">
            <v>3335583</v>
          </cell>
          <cell r="E23">
            <v>337483</v>
          </cell>
          <cell r="F23">
            <v>285593</v>
          </cell>
          <cell r="G23">
            <v>312862</v>
          </cell>
          <cell r="H23">
            <v>279261</v>
          </cell>
          <cell r="I23">
            <v>255500</v>
          </cell>
          <cell r="J23">
            <v>244434</v>
          </cell>
          <cell r="K23">
            <v>225463</v>
          </cell>
          <cell r="L23">
            <v>248595</v>
          </cell>
          <cell r="M23">
            <v>242296</v>
          </cell>
          <cell r="N23">
            <v>296412</v>
          </cell>
          <cell r="O23">
            <v>294098</v>
          </cell>
          <cell r="P23">
            <v>313586</v>
          </cell>
          <cell r="T23">
            <v>20</v>
          </cell>
          <cell r="U23" t="str">
            <v xml:space="preserve">Industrial </v>
          </cell>
          <cell r="W23">
            <v>3116438</v>
          </cell>
          <cell r="X23">
            <v>295069</v>
          </cell>
          <cell r="Y23">
            <v>274111</v>
          </cell>
          <cell r="Z23">
            <v>302431</v>
          </cell>
          <cell r="AA23">
            <v>237149</v>
          </cell>
          <cell r="AB23">
            <v>252229</v>
          </cell>
          <cell r="AC23">
            <v>247356</v>
          </cell>
          <cell r="AD23">
            <v>199888</v>
          </cell>
          <cell r="AE23">
            <v>233423</v>
          </cell>
          <cell r="AF23">
            <v>275760</v>
          </cell>
          <cell r="AG23">
            <v>280536</v>
          </cell>
          <cell r="AH23">
            <v>249824</v>
          </cell>
          <cell r="AI23">
            <v>268662</v>
          </cell>
        </row>
        <row r="24">
          <cell r="A24">
            <v>21</v>
          </cell>
          <cell r="B24" t="str">
            <v>Other</v>
          </cell>
          <cell r="D24">
            <v>80254</v>
          </cell>
          <cell r="E24">
            <v>4370</v>
          </cell>
          <cell r="F24">
            <v>3696</v>
          </cell>
          <cell r="G24">
            <v>4467</v>
          </cell>
          <cell r="H24">
            <v>5020</v>
          </cell>
          <cell r="I24">
            <v>6747</v>
          </cell>
          <cell r="J24">
            <v>5993</v>
          </cell>
          <cell r="K24">
            <v>8772</v>
          </cell>
          <cell r="L24">
            <v>9673</v>
          </cell>
          <cell r="M24">
            <v>8203</v>
          </cell>
          <cell r="N24">
            <v>8888</v>
          </cell>
          <cell r="O24">
            <v>7013</v>
          </cell>
          <cell r="P24">
            <v>7412</v>
          </cell>
          <cell r="T24">
            <v>21</v>
          </cell>
          <cell r="U24" t="str">
            <v xml:space="preserve">Interruptible </v>
          </cell>
          <cell r="W24">
            <v>95415</v>
          </cell>
          <cell r="X24">
            <v>4032</v>
          </cell>
          <cell r="Y24">
            <v>2753</v>
          </cell>
          <cell r="Z24">
            <v>3753</v>
          </cell>
          <cell r="AA24">
            <v>3819</v>
          </cell>
          <cell r="AB24">
            <v>5622</v>
          </cell>
          <cell r="AC24">
            <v>10775</v>
          </cell>
          <cell r="AD24">
            <v>11752</v>
          </cell>
          <cell r="AE24">
            <v>15477</v>
          </cell>
          <cell r="AF24">
            <v>8290</v>
          </cell>
          <cell r="AG24">
            <v>12848</v>
          </cell>
          <cell r="AH24">
            <v>9748</v>
          </cell>
          <cell r="AI24">
            <v>6546</v>
          </cell>
        </row>
        <row r="25">
          <cell r="A25">
            <v>22</v>
          </cell>
          <cell r="B25" t="str">
            <v>Total Volume</v>
          </cell>
          <cell r="D25">
            <v>9203138</v>
          </cell>
          <cell r="E25">
            <v>1572806</v>
          </cell>
          <cell r="F25">
            <v>1199901</v>
          </cell>
          <cell r="G25">
            <v>1115383</v>
          </cell>
          <cell r="H25">
            <v>919734</v>
          </cell>
          <cell r="I25">
            <v>525771</v>
          </cell>
          <cell r="J25">
            <v>399824</v>
          </cell>
          <cell r="K25">
            <v>360607</v>
          </cell>
          <cell r="L25">
            <v>381735</v>
          </cell>
          <cell r="M25">
            <v>375891</v>
          </cell>
          <cell r="N25">
            <v>479930</v>
          </cell>
          <cell r="O25">
            <v>743753</v>
          </cell>
          <cell r="P25">
            <v>1127803</v>
          </cell>
          <cell r="T25">
            <v>22</v>
          </cell>
          <cell r="U25" t="str">
            <v>Total Deliveries</v>
          </cell>
          <cell r="W25">
            <v>7960403</v>
          </cell>
          <cell r="X25">
            <v>1205613</v>
          </cell>
          <cell r="Y25">
            <v>1026873</v>
          </cell>
          <cell r="Z25">
            <v>1010770</v>
          </cell>
          <cell r="AA25">
            <v>690338</v>
          </cell>
          <cell r="AB25">
            <v>471832</v>
          </cell>
          <cell r="AC25">
            <v>419734</v>
          </cell>
          <cell r="AD25">
            <v>332731</v>
          </cell>
          <cell r="AE25">
            <v>373798</v>
          </cell>
          <cell r="AF25">
            <v>419922</v>
          </cell>
          <cell r="AG25">
            <v>443418</v>
          </cell>
          <cell r="AH25">
            <v>604790</v>
          </cell>
          <cell r="AI25">
            <v>960584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54142</v>
          </cell>
          <cell r="F28">
            <v>54309</v>
          </cell>
          <cell r="G28">
            <v>54450</v>
          </cell>
          <cell r="H28">
            <v>54516</v>
          </cell>
          <cell r="I28">
            <v>54465</v>
          </cell>
          <cell r="J28">
            <v>52361</v>
          </cell>
          <cell r="K28">
            <v>52463</v>
          </cell>
          <cell r="L28">
            <v>52580</v>
          </cell>
          <cell r="M28">
            <v>52672</v>
          </cell>
          <cell r="N28">
            <v>55289</v>
          </cell>
          <cell r="O28">
            <v>55803</v>
          </cell>
          <cell r="P28">
            <v>56262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1215129.336468203</v>
          </cell>
          <cell r="F29">
            <v>1166125.7044371287</v>
          </cell>
          <cell r="G29">
            <v>1077030.1594555941</v>
          </cell>
          <cell r="H29">
            <v>736622.51602018939</v>
          </cell>
          <cell r="I29">
            <v>500415.08057423995</v>
          </cell>
          <cell r="J29">
            <v>428624.56721531099</v>
          </cell>
          <cell r="K29">
            <v>350259.46923281683</v>
          </cell>
          <cell r="L29">
            <v>361273.22532075143</v>
          </cell>
          <cell r="M29">
            <v>414015.14229892328</v>
          </cell>
          <cell r="N29">
            <v>495768.26485847973</v>
          </cell>
          <cell r="O29">
            <v>642365.60679574776</v>
          </cell>
          <cell r="P29">
            <v>1007989.5995183686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1257658.8632445901</v>
          </cell>
          <cell r="F30">
            <v>1206940.1040924282</v>
          </cell>
          <cell r="G30">
            <v>1114726.2150365398</v>
          </cell>
          <cell r="H30">
            <v>762404.30408089596</v>
          </cell>
          <cell r="I30">
            <v>517929.60839433828</v>
          </cell>
          <cell r="J30">
            <v>443626.42706784682</v>
          </cell>
          <cell r="K30">
            <v>362518.5506559654</v>
          </cell>
          <cell r="L30">
            <v>373917.78820697771</v>
          </cell>
          <cell r="M30">
            <v>428505.67227938556</v>
          </cell>
          <cell r="N30">
            <v>513120.15412852645</v>
          </cell>
          <cell r="O30">
            <v>664848.40303359891</v>
          </cell>
          <cell r="P30">
            <v>1043269.2355015114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50133</v>
          </cell>
          <cell r="F34">
            <v>50226</v>
          </cell>
          <cell r="G34">
            <v>50283</v>
          </cell>
          <cell r="H34">
            <v>50334</v>
          </cell>
          <cell r="I34">
            <v>50344</v>
          </cell>
          <cell r="J34">
            <v>50338</v>
          </cell>
          <cell r="K34">
            <v>50330</v>
          </cell>
          <cell r="L34">
            <v>50336</v>
          </cell>
          <cell r="M34">
            <v>50367</v>
          </cell>
          <cell r="N34">
            <v>50422</v>
          </cell>
          <cell r="O34">
            <v>50533</v>
          </cell>
          <cell r="P34">
            <v>50675</v>
          </cell>
          <cell r="T34">
            <v>31</v>
          </cell>
          <cell r="U34" t="str">
            <v>Residential</v>
          </cell>
          <cell r="X34">
            <v>47631</v>
          </cell>
          <cell r="Y34">
            <v>47736</v>
          </cell>
          <cell r="Z34">
            <v>47824</v>
          </cell>
          <cell r="AA34">
            <v>47887</v>
          </cell>
          <cell r="AB34">
            <v>47887</v>
          </cell>
          <cell r="AC34">
            <v>47859</v>
          </cell>
          <cell r="AD34">
            <v>47832</v>
          </cell>
          <cell r="AE34">
            <v>47838</v>
          </cell>
          <cell r="AF34">
            <v>47875</v>
          </cell>
          <cell r="AG34">
            <v>47935</v>
          </cell>
          <cell r="AH34">
            <v>48030</v>
          </cell>
          <cell r="AI34">
            <v>48171</v>
          </cell>
        </row>
        <row r="35">
          <cell r="A35">
            <v>32</v>
          </cell>
          <cell r="B35" t="str">
            <v>Commercial</v>
          </cell>
          <cell r="E35">
            <v>4075</v>
          </cell>
          <cell r="F35">
            <v>4080</v>
          </cell>
          <cell r="G35">
            <v>4086</v>
          </cell>
          <cell r="H35">
            <v>4085</v>
          </cell>
          <cell r="I35">
            <v>4074</v>
          </cell>
          <cell r="J35">
            <v>4060</v>
          </cell>
          <cell r="K35">
            <v>4048</v>
          </cell>
          <cell r="L35">
            <v>4038</v>
          </cell>
          <cell r="M35">
            <v>4029</v>
          </cell>
          <cell r="N35">
            <v>4022</v>
          </cell>
          <cell r="O35">
            <v>4023</v>
          </cell>
          <cell r="P35">
            <v>4030</v>
          </cell>
          <cell r="T35">
            <v>32</v>
          </cell>
          <cell r="U35" t="str">
            <v>Commercial</v>
          </cell>
          <cell r="X35">
            <v>3994</v>
          </cell>
          <cell r="Y35">
            <v>3998</v>
          </cell>
          <cell r="Z35">
            <v>4001</v>
          </cell>
          <cell r="AA35">
            <v>3996</v>
          </cell>
          <cell r="AB35">
            <v>3981</v>
          </cell>
          <cell r="AC35">
            <v>3968</v>
          </cell>
          <cell r="AD35">
            <v>3955</v>
          </cell>
          <cell r="AE35">
            <v>3946</v>
          </cell>
          <cell r="AF35">
            <v>3939</v>
          </cell>
          <cell r="AG35">
            <v>3932</v>
          </cell>
          <cell r="AH35">
            <v>3933</v>
          </cell>
          <cell r="AI35">
            <v>3941</v>
          </cell>
        </row>
        <row r="36">
          <cell r="A36">
            <v>33</v>
          </cell>
          <cell r="B36" t="str">
            <v xml:space="preserve">Industrial </v>
          </cell>
          <cell r="E36">
            <v>88</v>
          </cell>
          <cell r="F36">
            <v>89</v>
          </cell>
          <cell r="G36">
            <v>89</v>
          </cell>
          <cell r="H36">
            <v>89</v>
          </cell>
          <cell r="I36">
            <v>89</v>
          </cell>
          <cell r="J36">
            <v>90</v>
          </cell>
          <cell r="K36">
            <v>90</v>
          </cell>
          <cell r="L36">
            <v>90</v>
          </cell>
          <cell r="M36">
            <v>90</v>
          </cell>
          <cell r="N36">
            <v>91</v>
          </cell>
          <cell r="O36">
            <v>91</v>
          </cell>
          <cell r="P36">
            <v>91</v>
          </cell>
          <cell r="T36">
            <v>33</v>
          </cell>
          <cell r="U36" t="str">
            <v xml:space="preserve">Industrial </v>
          </cell>
          <cell r="X36">
            <v>87</v>
          </cell>
          <cell r="Y36">
            <v>87</v>
          </cell>
          <cell r="Z36">
            <v>87</v>
          </cell>
          <cell r="AA36">
            <v>87</v>
          </cell>
          <cell r="AB36">
            <v>88</v>
          </cell>
          <cell r="AC36">
            <v>87</v>
          </cell>
          <cell r="AD36">
            <v>87</v>
          </cell>
          <cell r="AE36">
            <v>87</v>
          </cell>
          <cell r="AF36">
            <v>87</v>
          </cell>
          <cell r="AG36">
            <v>87</v>
          </cell>
          <cell r="AH36">
            <v>87</v>
          </cell>
          <cell r="AI36">
            <v>88</v>
          </cell>
        </row>
        <row r="37">
          <cell r="A37">
            <v>34</v>
          </cell>
          <cell r="B37" t="str">
            <v>Other</v>
          </cell>
          <cell r="E37">
            <v>5</v>
          </cell>
          <cell r="F37">
            <v>6</v>
          </cell>
          <cell r="G37">
            <v>6</v>
          </cell>
          <cell r="H37">
            <v>6</v>
          </cell>
          <cell r="I37">
            <v>6</v>
          </cell>
          <cell r="J37">
            <v>5</v>
          </cell>
          <cell r="K37">
            <v>5</v>
          </cell>
          <cell r="L37">
            <v>5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X37">
            <v>5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6</v>
          </cell>
          <cell r="AD37">
            <v>6</v>
          </cell>
          <cell r="AE37">
            <v>5</v>
          </cell>
          <cell r="AF37">
            <v>5</v>
          </cell>
          <cell r="AG37">
            <v>5</v>
          </cell>
          <cell r="AH37">
            <v>4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54301</v>
          </cell>
          <cell r="F38">
            <v>54401</v>
          </cell>
          <cell r="G38">
            <v>54464</v>
          </cell>
          <cell r="H38">
            <v>54514</v>
          </cell>
          <cell r="I38">
            <v>54513</v>
          </cell>
          <cell r="J38">
            <v>54493</v>
          </cell>
          <cell r="K38">
            <v>54473</v>
          </cell>
          <cell r="L38">
            <v>54469</v>
          </cell>
          <cell r="M38">
            <v>54491</v>
          </cell>
          <cell r="N38">
            <v>54540</v>
          </cell>
          <cell r="O38">
            <v>54652</v>
          </cell>
          <cell r="P38">
            <v>54801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51717</v>
          </cell>
          <cell r="Y38">
            <v>51826</v>
          </cell>
          <cell r="Z38">
            <v>51917</v>
          </cell>
          <cell r="AA38">
            <v>51975</v>
          </cell>
          <cell r="AB38">
            <v>51961</v>
          </cell>
          <cell r="AC38">
            <v>51920</v>
          </cell>
          <cell r="AD38">
            <v>51880</v>
          </cell>
          <cell r="AE38">
            <v>51876</v>
          </cell>
          <cell r="AF38">
            <v>51906</v>
          </cell>
          <cell r="AG38">
            <v>51959</v>
          </cell>
          <cell r="AH38">
            <v>52054</v>
          </cell>
          <cell r="AI38">
            <v>52205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703234</v>
          </cell>
          <cell r="F41">
            <v>1242403</v>
          </cell>
          <cell r="G41">
            <v>1678465</v>
          </cell>
          <cell r="H41">
            <v>2055617</v>
          </cell>
          <cell r="I41">
            <v>2194246</v>
          </cell>
          <cell r="J41">
            <v>2250134</v>
          </cell>
          <cell r="K41">
            <v>2297201</v>
          </cell>
          <cell r="L41">
            <v>2337952</v>
          </cell>
          <cell r="M41">
            <v>2381155</v>
          </cell>
          <cell r="N41">
            <v>2441863</v>
          </cell>
          <cell r="O41">
            <v>2657912</v>
          </cell>
          <cell r="P41">
            <v>3123423</v>
          </cell>
          <cell r="T41">
            <v>38</v>
          </cell>
          <cell r="U41" t="str">
            <v>Residential</v>
          </cell>
          <cell r="X41">
            <v>532570</v>
          </cell>
          <cell r="Y41">
            <v>965217</v>
          </cell>
          <cell r="Z41">
            <v>1356136</v>
          </cell>
          <cell r="AA41">
            <v>1623971</v>
          </cell>
          <cell r="AB41">
            <v>1723826</v>
          </cell>
          <cell r="AC41">
            <v>1788102</v>
          </cell>
          <cell r="AD41">
            <v>1833217</v>
          </cell>
          <cell r="AE41">
            <v>1875592</v>
          </cell>
          <cell r="AF41">
            <v>1920718</v>
          </cell>
          <cell r="AG41">
            <v>1971513</v>
          </cell>
          <cell r="AH41">
            <v>2134733</v>
          </cell>
          <cell r="AI41">
            <v>2512861</v>
          </cell>
        </row>
        <row r="42">
          <cell r="A42">
            <v>39</v>
          </cell>
          <cell r="B42" t="str">
            <v>Commercial</v>
          </cell>
          <cell r="E42">
            <v>469375</v>
          </cell>
          <cell r="F42">
            <v>800822</v>
          </cell>
          <cell r="G42">
            <v>1127276</v>
          </cell>
          <cell r="H42">
            <v>1359597</v>
          </cell>
          <cell r="I42">
            <v>1473696</v>
          </cell>
          <cell r="J42">
            <v>1561084</v>
          </cell>
          <cell r="K42">
            <v>1634923</v>
          </cell>
          <cell r="L42">
            <v>1712697</v>
          </cell>
          <cell r="M42">
            <v>1789537</v>
          </cell>
          <cell r="N42">
            <v>1896703</v>
          </cell>
          <cell r="O42">
            <v>2105668</v>
          </cell>
          <cell r="P42">
            <v>2413774</v>
          </cell>
          <cell r="T42">
            <v>39</v>
          </cell>
          <cell r="U42" t="str">
            <v>Commercial</v>
          </cell>
          <cell r="X42">
            <v>330553</v>
          </cell>
          <cell r="Y42">
            <v>612942</v>
          </cell>
          <cell r="Z42">
            <v>894280</v>
          </cell>
          <cell r="AA42">
            <v>1056090</v>
          </cell>
          <cell r="AB42">
            <v>1161087</v>
          </cell>
          <cell r="AC42">
            <v>1251520</v>
          </cell>
          <cell r="AD42">
            <v>1321924</v>
          </cell>
          <cell r="AE42">
            <v>1399199</v>
          </cell>
          <cell r="AF42">
            <v>1483849</v>
          </cell>
          <cell r="AG42">
            <v>1576061</v>
          </cell>
          <cell r="AH42">
            <v>1741820</v>
          </cell>
          <cell r="AI42">
            <v>2015952</v>
          </cell>
        </row>
        <row r="43">
          <cell r="A43">
            <v>40</v>
          </cell>
          <cell r="B43" t="str">
            <v xml:space="preserve">Industrial </v>
          </cell>
          <cell r="E43">
            <v>321487</v>
          </cell>
          <cell r="F43">
            <v>594536</v>
          </cell>
          <cell r="G43">
            <v>893466</v>
          </cell>
          <cell r="H43">
            <v>1161309</v>
          </cell>
          <cell r="I43">
            <v>1406341</v>
          </cell>
          <cell r="J43">
            <v>1640760</v>
          </cell>
          <cell r="K43">
            <v>1856470</v>
          </cell>
          <cell r="L43">
            <v>2095114</v>
          </cell>
          <cell r="M43">
            <v>2327074</v>
          </cell>
          <cell r="N43">
            <v>2612019</v>
          </cell>
          <cell r="O43">
            <v>2894405</v>
          </cell>
          <cell r="P43">
            <v>3195092</v>
          </cell>
          <cell r="T43">
            <v>40</v>
          </cell>
          <cell r="U43" t="str">
            <v xml:space="preserve">Industrial </v>
          </cell>
          <cell r="X43">
            <v>280946</v>
          </cell>
          <cell r="Y43">
            <v>542275</v>
          </cell>
          <cell r="Z43">
            <v>830829</v>
          </cell>
          <cell r="AA43">
            <v>1057568</v>
          </cell>
          <cell r="AB43">
            <v>1299037</v>
          </cell>
          <cell r="AC43">
            <v>1535841</v>
          </cell>
          <cell r="AD43">
            <v>1726532</v>
          </cell>
          <cell r="AE43">
            <v>1950147</v>
          </cell>
          <cell r="AF43">
            <v>2213536</v>
          </cell>
          <cell r="AG43">
            <v>2480932</v>
          </cell>
          <cell r="AH43">
            <v>2719005</v>
          </cell>
          <cell r="AI43">
            <v>2974686</v>
          </cell>
        </row>
        <row r="44">
          <cell r="A44">
            <v>41</v>
          </cell>
          <cell r="B44" t="str">
            <v>Other</v>
          </cell>
          <cell r="E44">
            <v>4163</v>
          </cell>
          <cell r="F44">
            <v>7697</v>
          </cell>
          <cell r="G44">
            <v>11965</v>
          </cell>
          <cell r="H44">
            <v>16780</v>
          </cell>
          <cell r="I44">
            <v>23251</v>
          </cell>
          <cell r="J44">
            <v>28998</v>
          </cell>
          <cell r="K44">
            <v>37391</v>
          </cell>
          <cell r="L44">
            <v>46677</v>
          </cell>
          <cell r="M44">
            <v>54530</v>
          </cell>
          <cell r="N44">
            <v>63074</v>
          </cell>
          <cell r="O44">
            <v>69808</v>
          </cell>
          <cell r="P44">
            <v>76915</v>
          </cell>
          <cell r="T44">
            <v>41</v>
          </cell>
          <cell r="U44" t="str">
            <v>Other</v>
          </cell>
          <cell r="X44">
            <v>3839</v>
          </cell>
          <cell r="Y44">
            <v>6464</v>
          </cell>
          <cell r="Z44">
            <v>10045</v>
          </cell>
          <cell r="AA44">
            <v>13696</v>
          </cell>
          <cell r="AB44">
            <v>19078</v>
          </cell>
          <cell r="AC44">
            <v>29393</v>
          </cell>
          <cell r="AD44">
            <v>40604</v>
          </cell>
          <cell r="AE44">
            <v>55431</v>
          </cell>
          <cell r="AF44">
            <v>63349</v>
          </cell>
          <cell r="AG44">
            <v>75595</v>
          </cell>
          <cell r="AH44">
            <v>84884</v>
          </cell>
          <cell r="AI44">
            <v>91114</v>
          </cell>
        </row>
        <row r="45">
          <cell r="A45">
            <v>42</v>
          </cell>
          <cell r="B45" t="str">
            <v>Total Volume</v>
          </cell>
          <cell r="E45">
            <v>1498259</v>
          </cell>
          <cell r="F45">
            <v>2645458</v>
          </cell>
          <cell r="G45">
            <v>3711172</v>
          </cell>
          <cell r="H45">
            <v>4593303</v>
          </cell>
          <cell r="I45">
            <v>5097534</v>
          </cell>
          <cell r="J45">
            <v>5480976</v>
          </cell>
          <cell r="K45">
            <v>5825985</v>
          </cell>
          <cell r="L45">
            <v>6192440</v>
          </cell>
          <cell r="M45">
            <v>6552296</v>
          </cell>
          <cell r="N45">
            <v>7013659</v>
          </cell>
          <cell r="O45">
            <v>7727793</v>
          </cell>
          <cell r="P45">
            <v>8809204</v>
          </cell>
          <cell r="T45">
            <v>42</v>
          </cell>
          <cell r="U45" t="str">
            <v>Total Volume</v>
          </cell>
          <cell r="X45">
            <v>1147908</v>
          </cell>
          <cell r="Y45">
            <v>2126898</v>
          </cell>
          <cell r="Z45">
            <v>3091290</v>
          </cell>
          <cell r="AA45">
            <v>3751325</v>
          </cell>
          <cell r="AB45">
            <v>4203028</v>
          </cell>
          <cell r="AC45">
            <v>4604856</v>
          </cell>
          <cell r="AD45">
            <v>4922277</v>
          </cell>
          <cell r="AE45">
            <v>5280369</v>
          </cell>
          <cell r="AF45">
            <v>5681452</v>
          </cell>
          <cell r="AG45">
            <v>6104101</v>
          </cell>
          <cell r="AH45">
            <v>6680442</v>
          </cell>
          <cell r="AI45">
            <v>7594613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738224</v>
          </cell>
          <cell r="F48">
            <v>1302162</v>
          </cell>
          <cell r="G48">
            <v>1758547</v>
          </cell>
          <cell r="H48">
            <v>2151776</v>
          </cell>
          <cell r="I48">
            <v>2296327</v>
          </cell>
          <cell r="J48">
            <v>2354603</v>
          </cell>
          <cell r="K48">
            <v>2403798</v>
          </cell>
          <cell r="L48">
            <v>2446248</v>
          </cell>
          <cell r="M48">
            <v>2491376</v>
          </cell>
          <cell r="N48">
            <v>2554527</v>
          </cell>
          <cell r="O48">
            <v>2779537</v>
          </cell>
          <cell r="P48">
            <v>3265018</v>
          </cell>
          <cell r="T48">
            <v>45</v>
          </cell>
          <cell r="U48" t="str">
            <v>Residential</v>
          </cell>
          <cell r="X48">
            <v>559342</v>
          </cell>
          <cell r="Y48">
            <v>1013150</v>
          </cell>
          <cell r="Z48">
            <v>1422868</v>
          </cell>
          <cell r="AA48">
            <v>1702999</v>
          </cell>
          <cell r="AB48">
            <v>1807304</v>
          </cell>
          <cell r="AC48">
            <v>1874444</v>
          </cell>
          <cell r="AD48">
            <v>1921735</v>
          </cell>
          <cell r="AE48">
            <v>1965969</v>
          </cell>
          <cell r="AF48">
            <v>2013215</v>
          </cell>
          <cell r="AG48">
            <v>2066506</v>
          </cell>
          <cell r="AH48">
            <v>2237783</v>
          </cell>
          <cell r="AI48">
            <v>2635109</v>
          </cell>
        </row>
        <row r="49">
          <cell r="A49">
            <v>46</v>
          </cell>
          <cell r="B49" t="str">
            <v>Commercial</v>
          </cell>
          <cell r="E49">
            <v>492729</v>
          </cell>
          <cell r="F49">
            <v>839403</v>
          </cell>
          <cell r="G49">
            <v>1181072</v>
          </cell>
          <cell r="H49">
            <v>1423296</v>
          </cell>
          <cell r="I49">
            <v>1542269</v>
          </cell>
          <cell r="J49">
            <v>1633390</v>
          </cell>
          <cell r="K49">
            <v>1710567</v>
          </cell>
          <cell r="L49">
            <v>1791584</v>
          </cell>
          <cell r="M49">
            <v>1871848</v>
          </cell>
          <cell r="N49">
            <v>1983327</v>
          </cell>
          <cell r="O49">
            <v>2200959</v>
          </cell>
          <cell r="P49">
            <v>2522283</v>
          </cell>
          <cell r="T49">
            <v>46</v>
          </cell>
          <cell r="U49" t="str">
            <v>Commercial</v>
          </cell>
          <cell r="X49">
            <v>347170</v>
          </cell>
          <cell r="Y49">
            <v>643371</v>
          </cell>
          <cell r="Z49">
            <v>938239</v>
          </cell>
          <cell r="AA49">
            <v>1107478</v>
          </cell>
          <cell r="AB49">
            <v>1217154</v>
          </cell>
          <cell r="AC49">
            <v>1311617</v>
          </cell>
          <cell r="AD49">
            <v>1385417</v>
          </cell>
          <cell r="AE49">
            <v>1466081</v>
          </cell>
          <cell r="AF49">
            <v>1554707</v>
          </cell>
          <cell r="AG49">
            <v>1651450</v>
          </cell>
          <cell r="AH49">
            <v>1825391</v>
          </cell>
          <cell r="AI49">
            <v>2113441</v>
          </cell>
        </row>
        <row r="50">
          <cell r="A50">
            <v>47</v>
          </cell>
          <cell r="B50" t="str">
            <v xml:space="preserve">Industrial </v>
          </cell>
          <cell r="E50">
            <v>337483</v>
          </cell>
          <cell r="F50">
            <v>623076</v>
          </cell>
          <cell r="G50">
            <v>935938</v>
          </cell>
          <cell r="H50">
            <v>1215199</v>
          </cell>
          <cell r="I50">
            <v>1470699</v>
          </cell>
          <cell r="J50">
            <v>1715133</v>
          </cell>
          <cell r="K50">
            <v>1940596</v>
          </cell>
          <cell r="L50">
            <v>2189191</v>
          </cell>
          <cell r="M50">
            <v>2431487</v>
          </cell>
          <cell r="N50">
            <v>2727899</v>
          </cell>
          <cell r="O50">
            <v>3021997</v>
          </cell>
          <cell r="P50">
            <v>3335583</v>
          </cell>
          <cell r="T50">
            <v>47</v>
          </cell>
          <cell r="U50" t="str">
            <v xml:space="preserve">Industrial </v>
          </cell>
          <cell r="X50">
            <v>295069</v>
          </cell>
          <cell r="Y50">
            <v>569180</v>
          </cell>
          <cell r="Z50">
            <v>871611</v>
          </cell>
          <cell r="AA50">
            <v>1108760</v>
          </cell>
          <cell r="AB50">
            <v>1360989</v>
          </cell>
          <cell r="AC50">
            <v>1608345</v>
          </cell>
          <cell r="AD50">
            <v>1808233</v>
          </cell>
          <cell r="AE50">
            <v>2041656</v>
          </cell>
          <cell r="AF50">
            <v>2317416</v>
          </cell>
          <cell r="AG50">
            <v>2597952</v>
          </cell>
          <cell r="AH50">
            <v>2847776</v>
          </cell>
          <cell r="AI50">
            <v>3116438</v>
          </cell>
        </row>
        <row r="51">
          <cell r="A51">
            <v>48</v>
          </cell>
          <cell r="B51" t="str">
            <v>Other</v>
          </cell>
          <cell r="E51">
            <v>4370</v>
          </cell>
          <cell r="F51">
            <v>8066</v>
          </cell>
          <cell r="G51">
            <v>12533</v>
          </cell>
          <cell r="H51">
            <v>17553</v>
          </cell>
          <cell r="I51">
            <v>24300</v>
          </cell>
          <cell r="J51">
            <v>30293</v>
          </cell>
          <cell r="K51">
            <v>39065</v>
          </cell>
          <cell r="L51">
            <v>48738</v>
          </cell>
          <cell r="M51">
            <v>56941</v>
          </cell>
          <cell r="N51">
            <v>65829</v>
          </cell>
          <cell r="O51">
            <v>72842</v>
          </cell>
          <cell r="P51">
            <v>80254</v>
          </cell>
          <cell r="T51">
            <v>48</v>
          </cell>
          <cell r="U51" t="str">
            <v>Other</v>
          </cell>
          <cell r="X51">
            <v>4032</v>
          </cell>
          <cell r="Y51">
            <v>6785</v>
          </cell>
          <cell r="Z51">
            <v>10538</v>
          </cell>
          <cell r="AA51">
            <v>14357</v>
          </cell>
          <cell r="AB51">
            <v>19979</v>
          </cell>
          <cell r="AC51">
            <v>30754</v>
          </cell>
          <cell r="AD51">
            <v>42506</v>
          </cell>
          <cell r="AE51">
            <v>57983</v>
          </cell>
          <cell r="AF51">
            <v>66273</v>
          </cell>
          <cell r="AG51">
            <v>79121</v>
          </cell>
          <cell r="AH51">
            <v>88869</v>
          </cell>
          <cell r="AI51">
            <v>95415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1572806</v>
          </cell>
          <cell r="F52">
            <v>2772707</v>
          </cell>
          <cell r="G52">
            <v>3888090</v>
          </cell>
          <cell r="H52">
            <v>4807824</v>
          </cell>
          <cell r="I52">
            <v>5333595</v>
          </cell>
          <cell r="J52">
            <v>5733419</v>
          </cell>
          <cell r="K52">
            <v>6094026</v>
          </cell>
          <cell r="L52">
            <v>6475761</v>
          </cell>
          <cell r="M52">
            <v>6851652</v>
          </cell>
          <cell r="N52">
            <v>7331582</v>
          </cell>
          <cell r="O52">
            <v>8075335</v>
          </cell>
          <cell r="P52">
            <v>9203138</v>
          </cell>
          <cell r="T52">
            <v>49</v>
          </cell>
          <cell r="U52" t="str">
            <v>Total Volume</v>
          </cell>
          <cell r="W52">
            <v>0</v>
          </cell>
          <cell r="X52">
            <v>1205613</v>
          </cell>
          <cell r="Y52">
            <v>2232486</v>
          </cell>
          <cell r="Z52">
            <v>3243256</v>
          </cell>
          <cell r="AA52">
            <v>3933594</v>
          </cell>
          <cell r="AB52">
            <v>4405426</v>
          </cell>
          <cell r="AC52">
            <v>4825160</v>
          </cell>
          <cell r="AD52">
            <v>5157891</v>
          </cell>
          <cell r="AE52">
            <v>5531689</v>
          </cell>
          <cell r="AF52">
            <v>5951611</v>
          </cell>
          <cell r="AG52">
            <v>6395029</v>
          </cell>
          <cell r="AH52">
            <v>6999819</v>
          </cell>
          <cell r="AI52">
            <v>7960403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54142</v>
          </cell>
          <cell r="F55">
            <v>54226</v>
          </cell>
          <cell r="G55">
            <v>54300</v>
          </cell>
          <cell r="H55">
            <v>54354</v>
          </cell>
          <cell r="I55">
            <v>54376</v>
          </cell>
          <cell r="J55">
            <v>54041</v>
          </cell>
          <cell r="K55">
            <v>53815</v>
          </cell>
          <cell r="L55">
            <v>53661</v>
          </cell>
          <cell r="M55">
            <v>53551</v>
          </cell>
          <cell r="N55">
            <v>53725</v>
          </cell>
          <cell r="O55">
            <v>53914</v>
          </cell>
          <cell r="P55">
            <v>54109</v>
          </cell>
        </row>
        <row r="56">
          <cell r="A56">
            <v>53</v>
          </cell>
          <cell r="B56" t="str">
            <v>Cumulative Budget YTD Volume (Mcfs)</v>
          </cell>
          <cell r="E56">
            <v>1215129.336468203</v>
          </cell>
          <cell r="F56">
            <v>2381255.0409053317</v>
          </cell>
          <cell r="G56">
            <v>3458285.2003609259</v>
          </cell>
          <cell r="H56">
            <v>4194907.7163811149</v>
          </cell>
          <cell r="I56">
            <v>4695322.7969553545</v>
          </cell>
          <cell r="J56">
            <v>5123947.3641706659</v>
          </cell>
          <cell r="K56">
            <v>5474206.833403483</v>
          </cell>
          <cell r="L56">
            <v>5835480.0587242348</v>
          </cell>
          <cell r="M56">
            <v>6249495.2010231577</v>
          </cell>
          <cell r="N56">
            <v>6745263.4658816373</v>
          </cell>
          <cell r="O56">
            <v>7387629.0726773851</v>
          </cell>
          <cell r="P56">
            <v>8395618.6721957531</v>
          </cell>
        </row>
        <row r="57">
          <cell r="A57">
            <v>54</v>
          </cell>
          <cell r="B57" t="str">
            <v>Cumulative YTD Budget Volume (Dts) * 1.035</v>
          </cell>
          <cell r="E57">
            <v>1257658.8632445901</v>
          </cell>
          <cell r="F57">
            <v>2464598.9673370183</v>
          </cell>
          <cell r="G57">
            <v>3579325.1823735582</v>
          </cell>
          <cell r="H57">
            <v>4341729.4864544543</v>
          </cell>
          <cell r="I57">
            <v>4859659.094848793</v>
          </cell>
          <cell r="J57">
            <v>5303285.52191664</v>
          </cell>
          <cell r="K57">
            <v>5665804.0725726057</v>
          </cell>
          <cell r="L57">
            <v>6039721.8607795835</v>
          </cell>
          <cell r="M57">
            <v>6468227.5330589693</v>
          </cell>
          <cell r="N57">
            <v>6981347.6871874956</v>
          </cell>
          <cell r="O57">
            <v>7646196.0902210949</v>
          </cell>
          <cell r="P57">
            <v>8689465.3257226069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11031.5</v>
          </cell>
          <cell r="E5">
            <v>11277</v>
          </cell>
          <cell r="F5">
            <v>11332</v>
          </cell>
          <cell r="G5">
            <v>11301</v>
          </cell>
          <cell r="H5">
            <v>11229</v>
          </cell>
          <cell r="I5">
            <v>11065</v>
          </cell>
          <cell r="J5">
            <v>10853</v>
          </cell>
          <cell r="K5">
            <v>10796</v>
          </cell>
          <cell r="L5">
            <v>10778</v>
          </cell>
          <cell r="M5">
            <v>10763</v>
          </cell>
          <cell r="N5">
            <v>10775</v>
          </cell>
          <cell r="O5">
            <v>10993</v>
          </cell>
          <cell r="P5">
            <v>11216</v>
          </cell>
          <cell r="T5">
            <v>2</v>
          </cell>
          <cell r="U5" t="str">
            <v>Residential</v>
          </cell>
          <cell r="V5">
            <v>11000</v>
          </cell>
          <cell r="W5">
            <v>131994</v>
          </cell>
          <cell r="X5">
            <v>11291</v>
          </cell>
          <cell r="Y5">
            <v>11334</v>
          </cell>
          <cell r="Z5">
            <v>11302</v>
          </cell>
          <cell r="AA5">
            <v>11219</v>
          </cell>
          <cell r="AB5">
            <v>11058</v>
          </cell>
          <cell r="AC5">
            <v>10856</v>
          </cell>
          <cell r="AD5">
            <v>10737</v>
          </cell>
          <cell r="AE5">
            <v>10720</v>
          </cell>
          <cell r="AF5">
            <v>10691</v>
          </cell>
          <cell r="AG5">
            <v>10732</v>
          </cell>
          <cell r="AH5">
            <v>10897</v>
          </cell>
          <cell r="AI5">
            <v>11157</v>
          </cell>
        </row>
        <row r="6">
          <cell r="A6">
            <v>3</v>
          </cell>
          <cell r="B6" t="str">
            <v>Commercial</v>
          </cell>
          <cell r="D6">
            <v>1873.8333333333333</v>
          </cell>
          <cell r="E6">
            <v>1888</v>
          </cell>
          <cell r="F6">
            <v>1900</v>
          </cell>
          <cell r="G6">
            <v>1905</v>
          </cell>
          <cell r="H6">
            <v>1901</v>
          </cell>
          <cell r="I6">
            <v>1880</v>
          </cell>
          <cell r="J6">
            <v>1852</v>
          </cell>
          <cell r="K6">
            <v>1837</v>
          </cell>
          <cell r="L6">
            <v>1852</v>
          </cell>
          <cell r="M6">
            <v>1844</v>
          </cell>
          <cell r="N6">
            <v>1853</v>
          </cell>
          <cell r="O6">
            <v>1883</v>
          </cell>
          <cell r="P6">
            <v>1891</v>
          </cell>
          <cell r="T6">
            <v>3</v>
          </cell>
          <cell r="U6" t="str">
            <v>Commercial</v>
          </cell>
          <cell r="V6">
            <v>1845</v>
          </cell>
          <cell r="W6">
            <v>22136</v>
          </cell>
          <cell r="X6">
            <v>1876</v>
          </cell>
          <cell r="Y6">
            <v>1871</v>
          </cell>
          <cell r="Z6">
            <v>1876</v>
          </cell>
          <cell r="AA6">
            <v>1874</v>
          </cell>
          <cell r="AB6">
            <v>1837</v>
          </cell>
          <cell r="AC6">
            <v>1813</v>
          </cell>
          <cell r="AD6">
            <v>1816</v>
          </cell>
          <cell r="AE6">
            <v>1812</v>
          </cell>
          <cell r="AF6">
            <v>1813</v>
          </cell>
          <cell r="AG6">
            <v>1812</v>
          </cell>
          <cell r="AH6">
            <v>1849</v>
          </cell>
          <cell r="AI6">
            <v>1887</v>
          </cell>
        </row>
        <row r="7">
          <cell r="A7">
            <v>4</v>
          </cell>
          <cell r="B7" t="str">
            <v xml:space="preserve">Industrial </v>
          </cell>
          <cell r="D7">
            <v>44.333333333333336</v>
          </cell>
          <cell r="E7">
            <v>44</v>
          </cell>
          <cell r="F7">
            <v>44</v>
          </cell>
          <cell r="G7">
            <v>44</v>
          </cell>
          <cell r="H7">
            <v>44</v>
          </cell>
          <cell r="I7">
            <v>44</v>
          </cell>
          <cell r="J7">
            <v>44</v>
          </cell>
          <cell r="K7">
            <v>48</v>
          </cell>
          <cell r="L7">
            <v>44</v>
          </cell>
          <cell r="M7">
            <v>44</v>
          </cell>
          <cell r="N7">
            <v>44</v>
          </cell>
          <cell r="O7">
            <v>44</v>
          </cell>
          <cell r="P7">
            <v>44</v>
          </cell>
          <cell r="T7">
            <v>4</v>
          </cell>
          <cell r="U7" t="str">
            <v xml:space="preserve">Industrial </v>
          </cell>
          <cell r="V7">
            <v>41</v>
          </cell>
          <cell r="W7">
            <v>496</v>
          </cell>
          <cell r="X7">
            <v>40</v>
          </cell>
          <cell r="Y7">
            <v>40</v>
          </cell>
          <cell r="Z7">
            <v>41</v>
          </cell>
          <cell r="AA7">
            <v>40</v>
          </cell>
          <cell r="AB7">
            <v>40</v>
          </cell>
          <cell r="AC7">
            <v>40</v>
          </cell>
          <cell r="AD7">
            <v>41</v>
          </cell>
          <cell r="AE7">
            <v>41</v>
          </cell>
          <cell r="AF7">
            <v>42</v>
          </cell>
          <cell r="AG7">
            <v>43</v>
          </cell>
          <cell r="AH7">
            <v>44</v>
          </cell>
          <cell r="AI7">
            <v>44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12949.666666666668</v>
          </cell>
          <cell r="E9">
            <v>13209</v>
          </cell>
          <cell r="F9">
            <v>13276</v>
          </cell>
          <cell r="G9">
            <v>13250</v>
          </cell>
          <cell r="H9">
            <v>13174</v>
          </cell>
          <cell r="I9">
            <v>12989</v>
          </cell>
          <cell r="J9">
            <v>12749</v>
          </cell>
          <cell r="K9">
            <v>12681</v>
          </cell>
          <cell r="L9">
            <v>12674</v>
          </cell>
          <cell r="M9">
            <v>12651</v>
          </cell>
          <cell r="N9">
            <v>12672</v>
          </cell>
          <cell r="O9">
            <v>12920</v>
          </cell>
          <cell r="P9">
            <v>13151</v>
          </cell>
          <cell r="T9">
            <v>6</v>
          </cell>
          <cell r="U9" t="str">
            <v>Total customers</v>
          </cell>
          <cell r="V9">
            <v>12886</v>
          </cell>
          <cell r="W9">
            <v>154626</v>
          </cell>
          <cell r="X9">
            <v>13207</v>
          </cell>
          <cell r="Y9">
            <v>13245</v>
          </cell>
          <cell r="Z9">
            <v>13219</v>
          </cell>
          <cell r="AA9">
            <v>13133</v>
          </cell>
          <cell r="AB9">
            <v>12935</v>
          </cell>
          <cell r="AC9">
            <v>12709</v>
          </cell>
          <cell r="AD9">
            <v>12594</v>
          </cell>
          <cell r="AE9">
            <v>12573</v>
          </cell>
          <cell r="AF9">
            <v>12546</v>
          </cell>
          <cell r="AG9">
            <v>12587</v>
          </cell>
          <cell r="AH9">
            <v>12790</v>
          </cell>
          <cell r="AI9">
            <v>13088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- 2018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562939</v>
          </cell>
          <cell r="E12">
            <v>132506</v>
          </cell>
          <cell r="F12">
            <v>96748</v>
          </cell>
          <cell r="G12">
            <v>81012</v>
          </cell>
          <cell r="H12">
            <v>70027</v>
          </cell>
          <cell r="I12">
            <v>25704</v>
          </cell>
          <cell r="J12">
            <v>9614</v>
          </cell>
          <cell r="K12">
            <v>8606</v>
          </cell>
          <cell r="L12">
            <v>7945</v>
          </cell>
          <cell r="M12">
            <v>7970</v>
          </cell>
          <cell r="N12">
            <v>11051</v>
          </cell>
          <cell r="O12">
            <v>36317</v>
          </cell>
          <cell r="P12">
            <v>75439</v>
          </cell>
          <cell r="T12">
            <v>9</v>
          </cell>
          <cell r="U12" t="str">
            <v>Residential</v>
          </cell>
          <cell r="W12">
            <v>479043.8</v>
          </cell>
          <cell r="X12">
            <v>99754</v>
          </cell>
          <cell r="Y12">
            <v>86359</v>
          </cell>
          <cell r="Z12">
            <v>68269</v>
          </cell>
          <cell r="AA12">
            <v>55953</v>
          </cell>
          <cell r="AB12">
            <v>18315</v>
          </cell>
          <cell r="AC12">
            <v>12836.8</v>
          </cell>
          <cell r="AD12">
            <v>9060</v>
          </cell>
          <cell r="AE12">
            <v>8414</v>
          </cell>
          <cell r="AF12">
            <v>9029</v>
          </cell>
          <cell r="AG12">
            <v>10415</v>
          </cell>
          <cell r="AH12">
            <v>28797</v>
          </cell>
          <cell r="AI12">
            <v>71842</v>
          </cell>
        </row>
        <row r="13">
          <cell r="A13">
            <v>10</v>
          </cell>
          <cell r="B13" t="str">
            <v>Commercial</v>
          </cell>
          <cell r="C13">
            <v>869437</v>
          </cell>
          <cell r="E13">
            <v>160378</v>
          </cell>
          <cell r="F13">
            <v>115380</v>
          </cell>
          <cell r="G13">
            <v>113182</v>
          </cell>
          <cell r="H13">
            <v>85235</v>
          </cell>
          <cell r="I13">
            <v>45111</v>
          </cell>
          <cell r="J13">
            <v>32341</v>
          </cell>
          <cell r="K13">
            <v>30120</v>
          </cell>
          <cell r="L13">
            <v>32649</v>
          </cell>
          <cell r="M13">
            <v>30853</v>
          </cell>
          <cell r="N13">
            <v>42613</v>
          </cell>
          <cell r="O13">
            <v>73346</v>
          </cell>
          <cell r="P13">
            <v>108229</v>
          </cell>
          <cell r="T13">
            <v>10</v>
          </cell>
          <cell r="U13" t="str">
            <v>Commercial</v>
          </cell>
          <cell r="W13">
            <v>774911</v>
          </cell>
          <cell r="X13">
            <v>121684</v>
          </cell>
          <cell r="Y13">
            <v>109246</v>
          </cell>
          <cell r="Z13">
            <v>101719</v>
          </cell>
          <cell r="AA13">
            <v>69580</v>
          </cell>
          <cell r="AB13">
            <v>44117</v>
          </cell>
          <cell r="AC13">
            <v>39428</v>
          </cell>
          <cell r="AD13">
            <v>31739</v>
          </cell>
          <cell r="AE13">
            <v>33782</v>
          </cell>
          <cell r="AF13">
            <v>35271</v>
          </cell>
          <cell r="AG13">
            <v>40468</v>
          </cell>
          <cell r="AH13">
            <v>61915</v>
          </cell>
          <cell r="AI13">
            <v>85962</v>
          </cell>
        </row>
        <row r="14">
          <cell r="A14">
            <v>11</v>
          </cell>
          <cell r="B14" t="str">
            <v xml:space="preserve">Industrial </v>
          </cell>
          <cell r="C14">
            <v>1893278</v>
          </cell>
          <cell r="E14">
            <v>173051</v>
          </cell>
          <cell r="F14">
            <v>153884</v>
          </cell>
          <cell r="G14">
            <v>169989</v>
          </cell>
          <cell r="H14">
            <v>152998</v>
          </cell>
          <cell r="I14">
            <v>143680</v>
          </cell>
          <cell r="J14">
            <v>151497</v>
          </cell>
          <cell r="K14">
            <v>134847</v>
          </cell>
          <cell r="L14">
            <v>153262</v>
          </cell>
          <cell r="M14">
            <v>139779</v>
          </cell>
          <cell r="N14">
            <v>166843</v>
          </cell>
          <cell r="O14">
            <v>176902</v>
          </cell>
          <cell r="P14">
            <v>176546</v>
          </cell>
          <cell r="T14">
            <v>11</v>
          </cell>
          <cell r="U14" t="str">
            <v xml:space="preserve">Industrial </v>
          </cell>
          <cell r="W14">
            <v>1708693</v>
          </cell>
          <cell r="X14">
            <v>144498</v>
          </cell>
          <cell r="Y14">
            <v>135377</v>
          </cell>
          <cell r="Z14">
            <v>153792</v>
          </cell>
          <cell r="AA14">
            <v>127641</v>
          </cell>
          <cell r="AB14">
            <v>132505</v>
          </cell>
          <cell r="AC14">
            <v>135513</v>
          </cell>
          <cell r="AD14">
            <v>117517</v>
          </cell>
          <cell r="AE14">
            <v>147875</v>
          </cell>
          <cell r="AF14">
            <v>124575</v>
          </cell>
          <cell r="AG14">
            <v>151247</v>
          </cell>
          <cell r="AH14">
            <v>175588</v>
          </cell>
          <cell r="AI14">
            <v>162565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3325654</v>
          </cell>
          <cell r="E16">
            <v>465935</v>
          </cell>
          <cell r="F16">
            <v>366012</v>
          </cell>
          <cell r="G16">
            <v>364183</v>
          </cell>
          <cell r="H16">
            <v>308260</v>
          </cell>
          <cell r="I16">
            <v>214495</v>
          </cell>
          <cell r="J16">
            <v>193452</v>
          </cell>
          <cell r="K16">
            <v>173573</v>
          </cell>
          <cell r="L16">
            <v>193856</v>
          </cell>
          <cell r="M16">
            <v>178602</v>
          </cell>
          <cell r="N16">
            <v>220507</v>
          </cell>
          <cell r="O16">
            <v>286565</v>
          </cell>
          <cell r="P16">
            <v>360214</v>
          </cell>
          <cell r="T16">
            <v>13</v>
          </cell>
          <cell r="U16" t="str">
            <v>Total Deliveries</v>
          </cell>
          <cell r="W16">
            <v>2962647.8</v>
          </cell>
          <cell r="X16">
            <v>365936</v>
          </cell>
          <cell r="Y16">
            <v>330982</v>
          </cell>
          <cell r="Z16">
            <v>323780</v>
          </cell>
          <cell r="AA16">
            <v>253174</v>
          </cell>
          <cell r="AB16">
            <v>194937</v>
          </cell>
          <cell r="AC16">
            <v>187777.8</v>
          </cell>
          <cell r="AD16">
            <v>158316</v>
          </cell>
          <cell r="AE16">
            <v>190071</v>
          </cell>
          <cell r="AF16">
            <v>168875</v>
          </cell>
          <cell r="AG16">
            <v>202130</v>
          </cell>
          <cell r="AH16">
            <v>266300</v>
          </cell>
          <cell r="AI16">
            <v>320369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588539</v>
          </cell>
          <cell r="E21">
            <v>139099</v>
          </cell>
          <cell r="F21">
            <v>101193</v>
          </cell>
          <cell r="G21">
            <v>84788</v>
          </cell>
          <cell r="H21">
            <v>73012</v>
          </cell>
          <cell r="I21">
            <v>26802</v>
          </cell>
          <cell r="J21">
            <v>10055</v>
          </cell>
          <cell r="K21">
            <v>8995</v>
          </cell>
          <cell r="L21">
            <v>8276</v>
          </cell>
          <cell r="M21">
            <v>8325</v>
          </cell>
          <cell r="N21">
            <v>11496</v>
          </cell>
          <cell r="O21">
            <v>37823</v>
          </cell>
          <cell r="P21">
            <v>78675</v>
          </cell>
          <cell r="T21">
            <v>18</v>
          </cell>
          <cell r="U21" t="str">
            <v>Residential</v>
          </cell>
          <cell r="W21">
            <v>502370</v>
          </cell>
          <cell r="X21">
            <v>104769</v>
          </cell>
          <cell r="Y21">
            <v>90583</v>
          </cell>
          <cell r="Z21">
            <v>71552</v>
          </cell>
          <cell r="AA21">
            <v>58522</v>
          </cell>
          <cell r="AB21">
            <v>19131</v>
          </cell>
          <cell r="AC21">
            <v>13446</v>
          </cell>
          <cell r="AD21">
            <v>9497</v>
          </cell>
          <cell r="AE21">
            <v>8783</v>
          </cell>
          <cell r="AF21">
            <v>9453</v>
          </cell>
          <cell r="AG21">
            <v>10927</v>
          </cell>
          <cell r="AH21">
            <v>30218</v>
          </cell>
          <cell r="AI21">
            <v>75489</v>
          </cell>
        </row>
        <row r="22">
          <cell r="A22">
            <v>19</v>
          </cell>
          <cell r="B22" t="str">
            <v>Commercial</v>
          </cell>
          <cell r="D22">
            <v>908534</v>
          </cell>
          <cell r="E22">
            <v>168358</v>
          </cell>
          <cell r="F22">
            <v>120681</v>
          </cell>
          <cell r="G22">
            <v>118457</v>
          </cell>
          <cell r="H22">
            <v>88868</v>
          </cell>
          <cell r="I22">
            <v>47038</v>
          </cell>
          <cell r="J22">
            <v>33824</v>
          </cell>
          <cell r="K22">
            <v>31482</v>
          </cell>
          <cell r="L22">
            <v>34010</v>
          </cell>
          <cell r="M22">
            <v>32228</v>
          </cell>
          <cell r="N22">
            <v>44328</v>
          </cell>
          <cell r="O22">
            <v>76388</v>
          </cell>
          <cell r="P22">
            <v>112872</v>
          </cell>
          <cell r="T22">
            <v>19</v>
          </cell>
          <cell r="U22" t="str">
            <v>Commercial</v>
          </cell>
          <cell r="W22">
            <v>812373</v>
          </cell>
          <cell r="X22">
            <v>127801</v>
          </cell>
          <cell r="Y22">
            <v>114589</v>
          </cell>
          <cell r="Z22">
            <v>106611</v>
          </cell>
          <cell r="AA22">
            <v>72774</v>
          </cell>
          <cell r="AB22">
            <v>46083</v>
          </cell>
          <cell r="AC22">
            <v>41299</v>
          </cell>
          <cell r="AD22">
            <v>33270</v>
          </cell>
          <cell r="AE22">
            <v>35264</v>
          </cell>
          <cell r="AF22">
            <v>36928</v>
          </cell>
          <cell r="AG22">
            <v>42457</v>
          </cell>
          <cell r="AH22">
            <v>64971</v>
          </cell>
          <cell r="AI22">
            <v>90326</v>
          </cell>
        </row>
        <row r="23">
          <cell r="A23">
            <v>20</v>
          </cell>
          <cell r="B23" t="str">
            <v xml:space="preserve">Industrial </v>
          </cell>
          <cell r="D23">
            <v>1976827</v>
          </cell>
          <cell r="E23">
            <v>181661</v>
          </cell>
          <cell r="F23">
            <v>160953</v>
          </cell>
          <cell r="G23">
            <v>177912</v>
          </cell>
          <cell r="H23">
            <v>159520</v>
          </cell>
          <cell r="I23">
            <v>149818</v>
          </cell>
          <cell r="J23">
            <v>158443</v>
          </cell>
          <cell r="K23">
            <v>140944</v>
          </cell>
          <cell r="L23">
            <v>159653</v>
          </cell>
          <cell r="M23">
            <v>146007</v>
          </cell>
          <cell r="N23">
            <v>173557</v>
          </cell>
          <cell r="O23">
            <v>184239</v>
          </cell>
          <cell r="P23">
            <v>184120</v>
          </cell>
          <cell r="T23">
            <v>20</v>
          </cell>
          <cell r="U23" t="str">
            <v xml:space="preserve">Industrial </v>
          </cell>
          <cell r="W23">
            <v>1790526</v>
          </cell>
          <cell r="X23">
            <v>151762</v>
          </cell>
          <cell r="Y23">
            <v>141998</v>
          </cell>
          <cell r="Z23">
            <v>161188</v>
          </cell>
          <cell r="AA23">
            <v>133501</v>
          </cell>
          <cell r="AB23">
            <v>138409</v>
          </cell>
          <cell r="AC23">
            <v>141944</v>
          </cell>
          <cell r="AD23">
            <v>123185</v>
          </cell>
          <cell r="AE23">
            <v>154361</v>
          </cell>
          <cell r="AF23">
            <v>130426</v>
          </cell>
          <cell r="AG23">
            <v>158679</v>
          </cell>
          <cell r="AH23">
            <v>184255</v>
          </cell>
          <cell r="AI23">
            <v>170818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3473900</v>
          </cell>
          <cell r="E25">
            <v>489118</v>
          </cell>
          <cell r="F25">
            <v>382827</v>
          </cell>
          <cell r="G25">
            <v>381157</v>
          </cell>
          <cell r="H25">
            <v>321400</v>
          </cell>
          <cell r="I25">
            <v>223658</v>
          </cell>
          <cell r="J25">
            <v>202322</v>
          </cell>
          <cell r="K25">
            <v>181421</v>
          </cell>
          <cell r="L25">
            <v>201939</v>
          </cell>
          <cell r="M25">
            <v>186560</v>
          </cell>
          <cell r="N25">
            <v>229381</v>
          </cell>
          <cell r="O25">
            <v>298450</v>
          </cell>
          <cell r="P25">
            <v>375667</v>
          </cell>
          <cell r="T25">
            <v>22</v>
          </cell>
          <cell r="U25" t="str">
            <v>Total Deliveries</v>
          </cell>
          <cell r="W25">
            <v>3105269</v>
          </cell>
          <cell r="X25">
            <v>384332</v>
          </cell>
          <cell r="Y25">
            <v>347170</v>
          </cell>
          <cell r="Z25">
            <v>339351</v>
          </cell>
          <cell r="AA25">
            <v>264797</v>
          </cell>
          <cell r="AB25">
            <v>203623</v>
          </cell>
          <cell r="AC25">
            <v>196689</v>
          </cell>
          <cell r="AD25">
            <v>165952</v>
          </cell>
          <cell r="AE25">
            <v>198408</v>
          </cell>
          <cell r="AF25">
            <v>176807</v>
          </cell>
          <cell r="AG25">
            <v>212063</v>
          </cell>
          <cell r="AH25">
            <v>279444</v>
          </cell>
          <cell r="AI25">
            <v>336633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13376</v>
          </cell>
          <cell r="F28">
            <v>13455</v>
          </cell>
          <cell r="G28">
            <v>13452</v>
          </cell>
          <cell r="H28">
            <v>13408</v>
          </cell>
          <cell r="I28">
            <v>13192</v>
          </cell>
          <cell r="J28">
            <v>12750</v>
          </cell>
          <cell r="K28">
            <v>12583</v>
          </cell>
          <cell r="L28">
            <v>12571</v>
          </cell>
          <cell r="M28">
            <v>12561</v>
          </cell>
          <cell r="N28">
            <v>12652</v>
          </cell>
          <cell r="O28">
            <v>12991</v>
          </cell>
          <cell r="P28">
            <v>13352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399392.42059581354</v>
          </cell>
          <cell r="F29">
            <v>398687.68379901838</v>
          </cell>
          <cell r="G29">
            <v>378737.37518533424</v>
          </cell>
          <cell r="H29">
            <v>303423.73034443881</v>
          </cell>
          <cell r="I29">
            <v>242035.24934391421</v>
          </cell>
          <cell r="J29">
            <v>219181.29681334071</v>
          </cell>
          <cell r="K29">
            <v>189392.47461346057</v>
          </cell>
          <cell r="L29">
            <v>202855.69111671657</v>
          </cell>
          <cell r="M29">
            <v>220080.92077495361</v>
          </cell>
          <cell r="N29">
            <v>245291.80592185099</v>
          </cell>
          <cell r="O29">
            <v>276613.48675216327</v>
          </cell>
          <cell r="P29">
            <v>360914.825637181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413371.15531666699</v>
          </cell>
          <cell r="F30">
            <v>412641.75273198402</v>
          </cell>
          <cell r="G30">
            <v>391993.18331682088</v>
          </cell>
          <cell r="H30">
            <v>314043.56090649415</v>
          </cell>
          <cell r="I30">
            <v>250506.48307095119</v>
          </cell>
          <cell r="J30">
            <v>226852.64220180761</v>
          </cell>
          <cell r="K30">
            <v>196021.21122493167</v>
          </cell>
          <cell r="L30">
            <v>209955.64030580164</v>
          </cell>
          <cell r="M30">
            <v>227783.75300207696</v>
          </cell>
          <cell r="N30">
            <v>253877.01912911574</v>
          </cell>
          <cell r="O30">
            <v>286294.95878848893</v>
          </cell>
          <cell r="P30">
            <v>373546.84453448228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11277</v>
          </cell>
          <cell r="F34">
            <v>11305</v>
          </cell>
          <cell r="G34">
            <v>11303</v>
          </cell>
          <cell r="H34">
            <v>11285</v>
          </cell>
          <cell r="I34">
            <v>11241</v>
          </cell>
          <cell r="J34">
            <v>11176</v>
          </cell>
          <cell r="K34">
            <v>11122</v>
          </cell>
          <cell r="L34">
            <v>11079</v>
          </cell>
          <cell r="M34">
            <v>11044</v>
          </cell>
          <cell r="N34">
            <v>11017</v>
          </cell>
          <cell r="O34">
            <v>11015</v>
          </cell>
          <cell r="P34">
            <v>11032</v>
          </cell>
          <cell r="T34">
            <v>31</v>
          </cell>
          <cell r="U34" t="str">
            <v>Residential</v>
          </cell>
          <cell r="X34">
            <v>11291</v>
          </cell>
          <cell r="Y34">
            <v>11313</v>
          </cell>
          <cell r="Z34">
            <v>11309</v>
          </cell>
          <cell r="AA34">
            <v>11287</v>
          </cell>
          <cell r="AB34">
            <v>11241</v>
          </cell>
          <cell r="AC34">
            <v>11177</v>
          </cell>
          <cell r="AD34">
            <v>11114</v>
          </cell>
          <cell r="AE34">
            <v>11065</v>
          </cell>
          <cell r="AF34">
            <v>11023</v>
          </cell>
          <cell r="AG34">
            <v>10994</v>
          </cell>
          <cell r="AH34">
            <v>10985</v>
          </cell>
          <cell r="AI34">
            <v>11000</v>
          </cell>
        </row>
        <row r="35">
          <cell r="A35">
            <v>32</v>
          </cell>
          <cell r="B35" t="str">
            <v>Commercial</v>
          </cell>
          <cell r="E35">
            <v>1888</v>
          </cell>
          <cell r="F35">
            <v>1894</v>
          </cell>
          <cell r="G35">
            <v>1898</v>
          </cell>
          <cell r="H35">
            <v>1899</v>
          </cell>
          <cell r="I35">
            <v>1895</v>
          </cell>
          <cell r="J35">
            <v>1888</v>
          </cell>
          <cell r="K35">
            <v>1880</v>
          </cell>
          <cell r="L35">
            <v>1877</v>
          </cell>
          <cell r="M35">
            <v>1873</v>
          </cell>
          <cell r="N35">
            <v>1871</v>
          </cell>
          <cell r="O35">
            <v>1872</v>
          </cell>
          <cell r="P35">
            <v>1874</v>
          </cell>
          <cell r="T35">
            <v>32</v>
          </cell>
          <cell r="U35" t="str">
            <v>Commercial</v>
          </cell>
          <cell r="X35">
            <v>1876</v>
          </cell>
          <cell r="Y35">
            <v>1874</v>
          </cell>
          <cell r="Z35">
            <v>1874</v>
          </cell>
          <cell r="AA35">
            <v>1874</v>
          </cell>
          <cell r="AB35">
            <v>1867</v>
          </cell>
          <cell r="AC35">
            <v>1858</v>
          </cell>
          <cell r="AD35">
            <v>1852</v>
          </cell>
          <cell r="AE35">
            <v>1847</v>
          </cell>
          <cell r="AF35">
            <v>1843</v>
          </cell>
          <cell r="AG35">
            <v>1840</v>
          </cell>
          <cell r="AH35">
            <v>1841</v>
          </cell>
          <cell r="AI35">
            <v>1845</v>
          </cell>
        </row>
        <row r="36">
          <cell r="A36">
            <v>33</v>
          </cell>
          <cell r="B36" t="str">
            <v xml:space="preserve">Industrial </v>
          </cell>
          <cell r="E36">
            <v>44</v>
          </cell>
          <cell r="F36">
            <v>44</v>
          </cell>
          <cell r="G36">
            <v>44</v>
          </cell>
          <cell r="H36">
            <v>44</v>
          </cell>
          <cell r="I36">
            <v>44</v>
          </cell>
          <cell r="J36">
            <v>44</v>
          </cell>
          <cell r="K36">
            <v>45</v>
          </cell>
          <cell r="L36">
            <v>45</v>
          </cell>
          <cell r="M36">
            <v>44</v>
          </cell>
          <cell r="N36">
            <v>44</v>
          </cell>
          <cell r="O36">
            <v>44</v>
          </cell>
          <cell r="P36">
            <v>44</v>
          </cell>
          <cell r="T36">
            <v>33</v>
          </cell>
          <cell r="U36" t="str">
            <v xml:space="preserve">Industrial </v>
          </cell>
          <cell r="X36">
            <v>40</v>
          </cell>
          <cell r="Y36">
            <v>40</v>
          </cell>
          <cell r="Z36">
            <v>40</v>
          </cell>
          <cell r="AA36">
            <v>40</v>
          </cell>
          <cell r="AB36">
            <v>40</v>
          </cell>
          <cell r="AC36">
            <v>40</v>
          </cell>
          <cell r="AD36">
            <v>40</v>
          </cell>
          <cell r="AE36">
            <v>40</v>
          </cell>
          <cell r="AF36">
            <v>41</v>
          </cell>
          <cell r="AG36">
            <v>41</v>
          </cell>
          <cell r="AH36">
            <v>41</v>
          </cell>
          <cell r="AI36">
            <v>41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13209</v>
          </cell>
          <cell r="F38">
            <v>13243</v>
          </cell>
          <cell r="G38">
            <v>13245</v>
          </cell>
          <cell r="H38">
            <v>13228</v>
          </cell>
          <cell r="I38">
            <v>13180</v>
          </cell>
          <cell r="J38">
            <v>13108</v>
          </cell>
          <cell r="K38">
            <v>13047</v>
          </cell>
          <cell r="L38">
            <v>13001</v>
          </cell>
          <cell r="M38">
            <v>12961</v>
          </cell>
          <cell r="N38">
            <v>12932</v>
          </cell>
          <cell r="O38">
            <v>12931</v>
          </cell>
          <cell r="P38">
            <v>12950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13207</v>
          </cell>
          <cell r="Y38">
            <v>13227</v>
          </cell>
          <cell r="Z38">
            <v>13223</v>
          </cell>
          <cell r="AA38">
            <v>13201</v>
          </cell>
          <cell r="AB38">
            <v>13148</v>
          </cell>
          <cell r="AC38">
            <v>13075</v>
          </cell>
          <cell r="AD38">
            <v>13006</v>
          </cell>
          <cell r="AE38">
            <v>12952</v>
          </cell>
          <cell r="AF38">
            <v>12907</v>
          </cell>
          <cell r="AG38">
            <v>12875</v>
          </cell>
          <cell r="AH38">
            <v>12867</v>
          </cell>
          <cell r="AI38">
            <v>12886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132506</v>
          </cell>
          <cell r="F41">
            <v>229254</v>
          </cell>
          <cell r="G41">
            <v>310266</v>
          </cell>
          <cell r="H41">
            <v>380293</v>
          </cell>
          <cell r="I41">
            <v>405997</v>
          </cell>
          <cell r="J41">
            <v>415611</v>
          </cell>
          <cell r="K41">
            <v>424217</v>
          </cell>
          <cell r="L41">
            <v>432162</v>
          </cell>
          <cell r="M41">
            <v>440132</v>
          </cell>
          <cell r="N41">
            <v>451183</v>
          </cell>
          <cell r="O41">
            <v>487500</v>
          </cell>
          <cell r="P41">
            <v>562939</v>
          </cell>
          <cell r="T41">
            <v>38</v>
          </cell>
          <cell r="U41" t="str">
            <v>Residential</v>
          </cell>
          <cell r="X41">
            <v>99754</v>
          </cell>
          <cell r="Y41">
            <v>186113</v>
          </cell>
          <cell r="Z41">
            <v>254382</v>
          </cell>
          <cell r="AA41">
            <v>310335</v>
          </cell>
          <cell r="AB41">
            <v>328650</v>
          </cell>
          <cell r="AC41">
            <v>341486.8</v>
          </cell>
          <cell r="AD41">
            <v>350546.8</v>
          </cell>
          <cell r="AE41">
            <v>358960.8</v>
          </cell>
          <cell r="AF41">
            <v>367989.8</v>
          </cell>
          <cell r="AG41">
            <v>378404.8</v>
          </cell>
          <cell r="AH41">
            <v>407201.8</v>
          </cell>
          <cell r="AI41">
            <v>479043.8</v>
          </cell>
        </row>
        <row r="42">
          <cell r="A42">
            <v>39</v>
          </cell>
          <cell r="B42" t="str">
            <v>Commercial</v>
          </cell>
          <cell r="E42">
            <v>160378</v>
          </cell>
          <cell r="F42">
            <v>275758</v>
          </cell>
          <cell r="G42">
            <v>388940</v>
          </cell>
          <cell r="H42">
            <v>474175</v>
          </cell>
          <cell r="I42">
            <v>519286</v>
          </cell>
          <cell r="J42">
            <v>551627</v>
          </cell>
          <cell r="K42">
            <v>581747</v>
          </cell>
          <cell r="L42">
            <v>614396</v>
          </cell>
          <cell r="M42">
            <v>645249</v>
          </cell>
          <cell r="N42">
            <v>687862</v>
          </cell>
          <cell r="O42">
            <v>761208</v>
          </cell>
          <cell r="P42">
            <v>869437</v>
          </cell>
          <cell r="T42">
            <v>39</v>
          </cell>
          <cell r="U42" t="str">
            <v>Commercial</v>
          </cell>
          <cell r="X42">
            <v>121684</v>
          </cell>
          <cell r="Y42">
            <v>230930</v>
          </cell>
          <cell r="Z42">
            <v>332649</v>
          </cell>
          <cell r="AA42">
            <v>402229</v>
          </cell>
          <cell r="AB42">
            <v>446346</v>
          </cell>
          <cell r="AC42">
            <v>485774</v>
          </cell>
          <cell r="AD42">
            <v>517513</v>
          </cell>
          <cell r="AE42">
            <v>551295</v>
          </cell>
          <cell r="AF42">
            <v>586566</v>
          </cell>
          <cell r="AG42">
            <v>627034</v>
          </cell>
          <cell r="AH42">
            <v>688949</v>
          </cell>
          <cell r="AI42">
            <v>774911</v>
          </cell>
        </row>
        <row r="43">
          <cell r="A43">
            <v>40</v>
          </cell>
          <cell r="B43" t="str">
            <v xml:space="preserve">Industrial </v>
          </cell>
          <cell r="E43">
            <v>173051</v>
          </cell>
          <cell r="F43">
            <v>326935</v>
          </cell>
          <cell r="G43">
            <v>496924</v>
          </cell>
          <cell r="H43">
            <v>649922</v>
          </cell>
          <cell r="I43">
            <v>793602</v>
          </cell>
          <cell r="J43">
            <v>945099</v>
          </cell>
          <cell r="K43">
            <v>1079946</v>
          </cell>
          <cell r="L43">
            <v>1233208</v>
          </cell>
          <cell r="M43">
            <v>1372987</v>
          </cell>
          <cell r="N43">
            <v>1539830</v>
          </cell>
          <cell r="O43">
            <v>1716732</v>
          </cell>
          <cell r="P43">
            <v>1893278</v>
          </cell>
          <cell r="T43">
            <v>40</v>
          </cell>
          <cell r="U43" t="str">
            <v xml:space="preserve">Industrial </v>
          </cell>
          <cell r="X43">
            <v>144498</v>
          </cell>
          <cell r="Y43">
            <v>279875</v>
          </cell>
          <cell r="Z43">
            <v>433667</v>
          </cell>
          <cell r="AA43">
            <v>561308</v>
          </cell>
          <cell r="AB43">
            <v>693813</v>
          </cell>
          <cell r="AC43">
            <v>829326</v>
          </cell>
          <cell r="AD43">
            <v>946843</v>
          </cell>
          <cell r="AE43">
            <v>1094718</v>
          </cell>
          <cell r="AF43">
            <v>1219293</v>
          </cell>
          <cell r="AG43">
            <v>1370540</v>
          </cell>
          <cell r="AH43">
            <v>1546128</v>
          </cell>
          <cell r="AI43">
            <v>1708693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465935</v>
          </cell>
          <cell r="F45">
            <v>831947</v>
          </cell>
          <cell r="G45">
            <v>1196130</v>
          </cell>
          <cell r="H45">
            <v>1504390</v>
          </cell>
          <cell r="I45">
            <v>1718885</v>
          </cell>
          <cell r="J45">
            <v>1912337</v>
          </cell>
          <cell r="K45">
            <v>2085910</v>
          </cell>
          <cell r="L45">
            <v>2279766</v>
          </cell>
          <cell r="M45">
            <v>2458368</v>
          </cell>
          <cell r="N45">
            <v>2678875</v>
          </cell>
          <cell r="O45">
            <v>2965440</v>
          </cell>
          <cell r="P45">
            <v>3325654</v>
          </cell>
          <cell r="T45">
            <v>42</v>
          </cell>
          <cell r="U45" t="str">
            <v>Total Volume</v>
          </cell>
          <cell r="X45">
            <v>365936</v>
          </cell>
          <cell r="Y45">
            <v>696918</v>
          </cell>
          <cell r="Z45">
            <v>1020698</v>
          </cell>
          <cell r="AA45">
            <v>1273872</v>
          </cell>
          <cell r="AB45">
            <v>1468809</v>
          </cell>
          <cell r="AC45">
            <v>1656586.8</v>
          </cell>
          <cell r="AD45">
            <v>1814902.8</v>
          </cell>
          <cell r="AE45">
            <v>2004973.8</v>
          </cell>
          <cell r="AF45">
            <v>2173848.7999999998</v>
          </cell>
          <cell r="AG45">
            <v>2375978.7999999998</v>
          </cell>
          <cell r="AH45">
            <v>2642278.7999999998</v>
          </cell>
          <cell r="AI45">
            <v>2962647.8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139099</v>
          </cell>
          <cell r="F48">
            <v>240292</v>
          </cell>
          <cell r="G48">
            <v>325080</v>
          </cell>
          <cell r="H48">
            <v>398092</v>
          </cell>
          <cell r="I48">
            <v>424894</v>
          </cell>
          <cell r="J48">
            <v>434949</v>
          </cell>
          <cell r="K48">
            <v>443944</v>
          </cell>
          <cell r="L48">
            <v>452220</v>
          </cell>
          <cell r="M48">
            <v>460545</v>
          </cell>
          <cell r="N48">
            <v>472041</v>
          </cell>
          <cell r="O48">
            <v>509864</v>
          </cell>
          <cell r="P48">
            <v>588539</v>
          </cell>
          <cell r="T48">
            <v>45</v>
          </cell>
          <cell r="U48" t="str">
            <v>Residential</v>
          </cell>
          <cell r="X48">
            <v>104769</v>
          </cell>
          <cell r="Y48">
            <v>195352</v>
          </cell>
          <cell r="Z48">
            <v>266904</v>
          </cell>
          <cell r="AA48">
            <v>325426</v>
          </cell>
          <cell r="AB48">
            <v>344557</v>
          </cell>
          <cell r="AC48">
            <v>358003</v>
          </cell>
          <cell r="AD48">
            <v>367500</v>
          </cell>
          <cell r="AE48">
            <v>376283</v>
          </cell>
          <cell r="AF48">
            <v>385736</v>
          </cell>
          <cell r="AG48">
            <v>396663</v>
          </cell>
          <cell r="AH48">
            <v>426881</v>
          </cell>
          <cell r="AI48">
            <v>502370</v>
          </cell>
        </row>
        <row r="49">
          <cell r="A49">
            <v>46</v>
          </cell>
          <cell r="B49" t="str">
            <v>Commercial</v>
          </cell>
          <cell r="E49">
            <v>168358</v>
          </cell>
          <cell r="F49">
            <v>289039</v>
          </cell>
          <cell r="G49">
            <v>407496</v>
          </cell>
          <cell r="H49">
            <v>496364</v>
          </cell>
          <cell r="I49">
            <v>543402</v>
          </cell>
          <cell r="J49">
            <v>577226</v>
          </cell>
          <cell r="K49">
            <v>608708</v>
          </cell>
          <cell r="L49">
            <v>642718</v>
          </cell>
          <cell r="M49">
            <v>674946</v>
          </cell>
          <cell r="N49">
            <v>719274</v>
          </cell>
          <cell r="O49">
            <v>795662</v>
          </cell>
          <cell r="P49">
            <v>908534</v>
          </cell>
          <cell r="T49">
            <v>46</v>
          </cell>
          <cell r="U49" t="str">
            <v>Commercial</v>
          </cell>
          <cell r="X49">
            <v>127801</v>
          </cell>
          <cell r="Y49">
            <v>242390</v>
          </cell>
          <cell r="Z49">
            <v>349001</v>
          </cell>
          <cell r="AA49">
            <v>421775</v>
          </cell>
          <cell r="AB49">
            <v>467858</v>
          </cell>
          <cell r="AC49">
            <v>509157</v>
          </cell>
          <cell r="AD49">
            <v>542427</v>
          </cell>
          <cell r="AE49">
            <v>577691</v>
          </cell>
          <cell r="AF49">
            <v>614619</v>
          </cell>
          <cell r="AG49">
            <v>657076</v>
          </cell>
          <cell r="AH49">
            <v>722047</v>
          </cell>
          <cell r="AI49">
            <v>812373</v>
          </cell>
        </row>
        <row r="50">
          <cell r="A50">
            <v>47</v>
          </cell>
          <cell r="B50" t="str">
            <v xml:space="preserve">Industrial </v>
          </cell>
          <cell r="E50">
            <v>181661</v>
          </cell>
          <cell r="F50">
            <v>342614</v>
          </cell>
          <cell r="G50">
            <v>520526</v>
          </cell>
          <cell r="H50">
            <v>680046</v>
          </cell>
          <cell r="I50">
            <v>829864</v>
          </cell>
          <cell r="J50">
            <v>988307</v>
          </cell>
          <cell r="K50">
            <v>1129251</v>
          </cell>
          <cell r="L50">
            <v>1288904</v>
          </cell>
          <cell r="M50">
            <v>1434911</v>
          </cell>
          <cell r="N50">
            <v>1608468</v>
          </cell>
          <cell r="O50">
            <v>1792707</v>
          </cell>
          <cell r="P50">
            <v>1976827</v>
          </cell>
          <cell r="T50">
            <v>47</v>
          </cell>
          <cell r="U50" t="str">
            <v xml:space="preserve">Industrial </v>
          </cell>
          <cell r="X50">
            <v>151762</v>
          </cell>
          <cell r="Y50">
            <v>293760</v>
          </cell>
          <cell r="Z50">
            <v>454948</v>
          </cell>
          <cell r="AA50">
            <v>588449</v>
          </cell>
          <cell r="AB50">
            <v>726858</v>
          </cell>
          <cell r="AC50">
            <v>868802</v>
          </cell>
          <cell r="AD50">
            <v>991987</v>
          </cell>
          <cell r="AE50">
            <v>1146348</v>
          </cell>
          <cell r="AF50">
            <v>1276774</v>
          </cell>
          <cell r="AG50">
            <v>1435453</v>
          </cell>
          <cell r="AH50">
            <v>1619708</v>
          </cell>
          <cell r="AI50">
            <v>1790526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489118</v>
          </cell>
          <cell r="F52">
            <v>871945</v>
          </cell>
          <cell r="G52">
            <v>1253102</v>
          </cell>
          <cell r="H52">
            <v>1574502</v>
          </cell>
          <cell r="I52">
            <v>1798160</v>
          </cell>
          <cell r="J52">
            <v>2000482</v>
          </cell>
          <cell r="K52">
            <v>2181903</v>
          </cell>
          <cell r="L52">
            <v>2383842</v>
          </cell>
          <cell r="M52">
            <v>2570402</v>
          </cell>
          <cell r="N52">
            <v>2799783</v>
          </cell>
          <cell r="O52">
            <v>3098233</v>
          </cell>
          <cell r="P52">
            <v>3473900</v>
          </cell>
          <cell r="T52">
            <v>49</v>
          </cell>
          <cell r="U52" t="str">
            <v>Total Volume</v>
          </cell>
          <cell r="W52">
            <v>0</v>
          </cell>
          <cell r="X52">
            <v>384332</v>
          </cell>
          <cell r="Y52">
            <v>731502</v>
          </cell>
          <cell r="Z52">
            <v>1070853</v>
          </cell>
          <cell r="AA52">
            <v>1335650</v>
          </cell>
          <cell r="AB52">
            <v>1539273</v>
          </cell>
          <cell r="AC52">
            <v>1735962</v>
          </cell>
          <cell r="AD52">
            <v>1901914</v>
          </cell>
          <cell r="AE52">
            <v>2100322</v>
          </cell>
          <cell r="AF52">
            <v>2277129</v>
          </cell>
          <cell r="AG52">
            <v>2489192</v>
          </cell>
          <cell r="AH52">
            <v>2768636</v>
          </cell>
          <cell r="AI52">
            <v>3105269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13376</v>
          </cell>
          <cell r="F55">
            <v>13416</v>
          </cell>
          <cell r="G55">
            <v>13428</v>
          </cell>
          <cell r="H55">
            <v>13423</v>
          </cell>
          <cell r="I55">
            <v>13377</v>
          </cell>
          <cell r="J55">
            <v>13272</v>
          </cell>
          <cell r="K55">
            <v>13174</v>
          </cell>
          <cell r="L55">
            <v>13098</v>
          </cell>
          <cell r="M55">
            <v>13039</v>
          </cell>
          <cell r="N55">
            <v>13000</v>
          </cell>
          <cell r="O55">
            <v>12999</v>
          </cell>
          <cell r="P55">
            <v>13029</v>
          </cell>
        </row>
        <row r="56">
          <cell r="A56">
            <v>53</v>
          </cell>
          <cell r="B56" t="str">
            <v>Cumulative Budget YTD Volume (Mcfs)</v>
          </cell>
          <cell r="E56">
            <v>399392.42059581354</v>
          </cell>
          <cell r="F56">
            <v>798080.10439483193</v>
          </cell>
          <cell r="G56">
            <v>1176817.4795801663</v>
          </cell>
          <cell r="H56">
            <v>1480241.2099246052</v>
          </cell>
          <cell r="I56">
            <v>1722276.4592685194</v>
          </cell>
          <cell r="J56">
            <v>1941457.75608186</v>
          </cell>
          <cell r="K56">
            <v>2130850.2306953208</v>
          </cell>
          <cell r="L56">
            <v>2333705.9218120375</v>
          </cell>
          <cell r="M56">
            <v>2553786.8425869909</v>
          </cell>
          <cell r="N56">
            <v>2799078.6485088421</v>
          </cell>
          <cell r="O56">
            <v>3075692.1352610053</v>
          </cell>
          <cell r="P56">
            <v>3436606.9608981861</v>
          </cell>
        </row>
        <row r="57">
          <cell r="A57">
            <v>54</v>
          </cell>
          <cell r="B57" t="str">
            <v>Cumulative YTD Budget Volume (Dts) * 1.035</v>
          </cell>
          <cell r="E57">
            <v>413371.15531666699</v>
          </cell>
          <cell r="F57">
            <v>826012.90804865095</v>
          </cell>
          <cell r="G57">
            <v>1218006.0913654719</v>
          </cell>
          <cell r="H57">
            <v>1532049.652271966</v>
          </cell>
          <cell r="I57">
            <v>1782556.1353429172</v>
          </cell>
          <cell r="J57">
            <v>2009408.7775447248</v>
          </cell>
          <cell r="K57">
            <v>2205429.9887696565</v>
          </cell>
          <cell r="L57">
            <v>2415385.6290754583</v>
          </cell>
          <cell r="M57">
            <v>2643169.3820775351</v>
          </cell>
          <cell r="N57">
            <v>2897046.4012066508</v>
          </cell>
          <cell r="O57">
            <v>3183341.3599951398</v>
          </cell>
          <cell r="P57">
            <v>3556888.2045296221</v>
          </cell>
        </row>
      </sheetData>
      <sheetData sheetId="12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9615</v>
          </cell>
          <cell r="E5">
            <v>9631</v>
          </cell>
          <cell r="F5">
            <v>9654</v>
          </cell>
          <cell r="G5">
            <v>9656</v>
          </cell>
          <cell r="H5">
            <v>9612</v>
          </cell>
          <cell r="I5">
            <v>9588</v>
          </cell>
          <cell r="J5">
            <v>9590</v>
          </cell>
          <cell r="K5">
            <v>9587</v>
          </cell>
          <cell r="L5">
            <v>9590</v>
          </cell>
          <cell r="M5">
            <v>9590</v>
          </cell>
          <cell r="N5">
            <v>9588</v>
          </cell>
          <cell r="O5">
            <v>9619</v>
          </cell>
          <cell r="P5">
            <v>9672</v>
          </cell>
          <cell r="T5">
            <v>2</v>
          </cell>
          <cell r="U5" t="str">
            <v>Residential</v>
          </cell>
          <cell r="V5">
            <v>9528</v>
          </cell>
          <cell r="W5">
            <v>114337</v>
          </cell>
          <cell r="X5">
            <v>9578</v>
          </cell>
          <cell r="Y5">
            <v>9579</v>
          </cell>
          <cell r="Z5">
            <v>9546</v>
          </cell>
          <cell r="AA5">
            <v>9532</v>
          </cell>
          <cell r="AB5">
            <v>9502</v>
          </cell>
          <cell r="AC5">
            <v>9481</v>
          </cell>
          <cell r="AD5">
            <v>9487</v>
          </cell>
          <cell r="AE5">
            <v>9492</v>
          </cell>
          <cell r="AF5">
            <v>9503</v>
          </cell>
          <cell r="AG5">
            <v>9500</v>
          </cell>
          <cell r="AH5">
            <v>9538</v>
          </cell>
          <cell r="AI5">
            <v>9599</v>
          </cell>
        </row>
        <row r="6">
          <cell r="A6">
            <v>3</v>
          </cell>
          <cell r="B6" t="str">
            <v>Commercial</v>
          </cell>
          <cell r="D6">
            <v>1075</v>
          </cell>
          <cell r="E6">
            <v>1041</v>
          </cell>
          <cell r="F6">
            <v>1039</v>
          </cell>
          <cell r="G6">
            <v>1040</v>
          </cell>
          <cell r="H6">
            <v>1055</v>
          </cell>
          <cell r="I6">
            <v>1084</v>
          </cell>
          <cell r="J6">
            <v>1104</v>
          </cell>
          <cell r="K6">
            <v>1094</v>
          </cell>
          <cell r="L6">
            <v>1098</v>
          </cell>
          <cell r="M6">
            <v>1098</v>
          </cell>
          <cell r="N6">
            <v>1091</v>
          </cell>
          <cell r="O6">
            <v>1075</v>
          </cell>
          <cell r="P6">
            <v>1078</v>
          </cell>
          <cell r="T6">
            <v>3</v>
          </cell>
          <cell r="U6" t="str">
            <v>Commercial</v>
          </cell>
          <cell r="V6">
            <v>1059</v>
          </cell>
          <cell r="W6">
            <v>12707</v>
          </cell>
          <cell r="X6">
            <v>1039</v>
          </cell>
          <cell r="Y6">
            <v>1037</v>
          </cell>
          <cell r="Z6">
            <v>1029</v>
          </cell>
          <cell r="AA6">
            <v>1036</v>
          </cell>
          <cell r="AB6">
            <v>1060</v>
          </cell>
          <cell r="AC6">
            <v>1087</v>
          </cell>
          <cell r="AD6">
            <v>1086</v>
          </cell>
          <cell r="AE6">
            <v>1086</v>
          </cell>
          <cell r="AF6">
            <v>1087</v>
          </cell>
          <cell r="AG6">
            <v>1076</v>
          </cell>
          <cell r="AH6">
            <v>1046</v>
          </cell>
          <cell r="AI6">
            <v>1038</v>
          </cell>
        </row>
        <row r="7">
          <cell r="A7">
            <v>4</v>
          </cell>
          <cell r="B7" t="str">
            <v xml:space="preserve">Industrial </v>
          </cell>
          <cell r="D7">
            <v>22</v>
          </cell>
          <cell r="E7">
            <v>21</v>
          </cell>
          <cell r="F7">
            <v>20</v>
          </cell>
          <cell r="G7">
            <v>20</v>
          </cell>
          <cell r="H7">
            <v>20</v>
          </cell>
          <cell r="I7">
            <v>20</v>
          </cell>
          <cell r="J7">
            <v>20</v>
          </cell>
          <cell r="K7">
            <v>24</v>
          </cell>
          <cell r="L7">
            <v>24</v>
          </cell>
          <cell r="M7">
            <v>24</v>
          </cell>
          <cell r="N7">
            <v>24</v>
          </cell>
          <cell r="O7">
            <v>24</v>
          </cell>
          <cell r="P7">
            <v>24</v>
          </cell>
          <cell r="T7">
            <v>4</v>
          </cell>
          <cell r="U7" t="str">
            <v xml:space="preserve">Industrial </v>
          </cell>
          <cell r="V7">
            <v>18</v>
          </cell>
          <cell r="W7">
            <v>211</v>
          </cell>
          <cell r="X7">
            <v>10</v>
          </cell>
          <cell r="Y7">
            <v>17</v>
          </cell>
          <cell r="Z7">
            <v>17</v>
          </cell>
          <cell r="AA7">
            <v>17</v>
          </cell>
          <cell r="AB7">
            <v>17</v>
          </cell>
          <cell r="AC7">
            <v>17</v>
          </cell>
          <cell r="AD7">
            <v>18</v>
          </cell>
          <cell r="AE7">
            <v>18</v>
          </cell>
          <cell r="AF7">
            <v>19</v>
          </cell>
          <cell r="AG7">
            <v>20</v>
          </cell>
          <cell r="AH7">
            <v>20</v>
          </cell>
          <cell r="AI7">
            <v>21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10712</v>
          </cell>
          <cell r="E9">
            <v>10693</v>
          </cell>
          <cell r="F9">
            <v>10713</v>
          </cell>
          <cell r="G9">
            <v>10716</v>
          </cell>
          <cell r="H9">
            <v>10687</v>
          </cell>
          <cell r="I9">
            <v>10692</v>
          </cell>
          <cell r="J9">
            <v>10714</v>
          </cell>
          <cell r="K9">
            <v>10705</v>
          </cell>
          <cell r="L9">
            <v>10712</v>
          </cell>
          <cell r="M9">
            <v>10712</v>
          </cell>
          <cell r="N9">
            <v>10703</v>
          </cell>
          <cell r="O9">
            <v>10718</v>
          </cell>
          <cell r="P9">
            <v>10774</v>
          </cell>
          <cell r="T9">
            <v>6</v>
          </cell>
          <cell r="U9" t="str">
            <v>Total customers</v>
          </cell>
          <cell r="V9">
            <v>10605</v>
          </cell>
          <cell r="W9">
            <v>127255</v>
          </cell>
          <cell r="X9">
            <v>10627</v>
          </cell>
          <cell r="Y9">
            <v>10633</v>
          </cell>
          <cell r="Z9">
            <v>10592</v>
          </cell>
          <cell r="AA9">
            <v>10585</v>
          </cell>
          <cell r="AB9">
            <v>10579</v>
          </cell>
          <cell r="AC9">
            <v>10585</v>
          </cell>
          <cell r="AD9">
            <v>10591</v>
          </cell>
          <cell r="AE9">
            <v>10596</v>
          </cell>
          <cell r="AF9">
            <v>10609</v>
          </cell>
          <cell r="AG9">
            <v>10596</v>
          </cell>
          <cell r="AH9">
            <v>10604</v>
          </cell>
          <cell r="AI9">
            <v>10658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276425</v>
          </cell>
          <cell r="E12">
            <v>68205</v>
          </cell>
          <cell r="F12">
            <v>46120</v>
          </cell>
          <cell r="G12">
            <v>35438</v>
          </cell>
          <cell r="H12">
            <v>32493</v>
          </cell>
          <cell r="I12">
            <v>12288</v>
          </cell>
          <cell r="J12">
            <v>6304</v>
          </cell>
          <cell r="K12">
            <v>6225</v>
          </cell>
          <cell r="L12">
            <v>5522</v>
          </cell>
          <cell r="M12">
            <v>5523</v>
          </cell>
          <cell r="N12">
            <v>5668</v>
          </cell>
          <cell r="O12">
            <v>15745</v>
          </cell>
          <cell r="P12">
            <v>36894</v>
          </cell>
          <cell r="T12">
            <v>9</v>
          </cell>
          <cell r="U12" t="str">
            <v>Residential</v>
          </cell>
          <cell r="W12">
            <v>220407</v>
          </cell>
          <cell r="X12">
            <v>42585</v>
          </cell>
          <cell r="Y12">
            <v>38389</v>
          </cell>
          <cell r="Z12">
            <v>31615</v>
          </cell>
          <cell r="AA12">
            <v>23154</v>
          </cell>
          <cell r="AB12">
            <v>8596</v>
          </cell>
          <cell r="AC12">
            <v>6909</v>
          </cell>
          <cell r="AD12">
            <v>6116</v>
          </cell>
          <cell r="AE12">
            <v>5621</v>
          </cell>
          <cell r="AF12">
            <v>5931</v>
          </cell>
          <cell r="AG12">
            <v>5747</v>
          </cell>
          <cell r="AH12">
            <v>14794</v>
          </cell>
          <cell r="AI12">
            <v>30950</v>
          </cell>
        </row>
        <row r="13">
          <cell r="A13">
            <v>10</v>
          </cell>
          <cell r="B13" t="str">
            <v>Commercial</v>
          </cell>
          <cell r="D13">
            <v>345958</v>
          </cell>
          <cell r="E13">
            <v>45386</v>
          </cell>
          <cell r="F13">
            <v>35155</v>
          </cell>
          <cell r="G13">
            <v>30999</v>
          </cell>
          <cell r="H13">
            <v>32726</v>
          </cell>
          <cell r="I13">
            <v>27114</v>
          </cell>
          <cell r="J13">
            <v>26061</v>
          </cell>
          <cell r="K13">
            <v>30933</v>
          </cell>
          <cell r="L13">
            <v>27936</v>
          </cell>
          <cell r="M13">
            <v>28301</v>
          </cell>
          <cell r="N13">
            <v>19742</v>
          </cell>
          <cell r="O13">
            <v>17832</v>
          </cell>
          <cell r="P13">
            <v>23773</v>
          </cell>
          <cell r="T13">
            <v>10</v>
          </cell>
          <cell r="U13" t="str">
            <v>Commercial</v>
          </cell>
          <cell r="W13">
            <v>333243</v>
          </cell>
          <cell r="X13">
            <v>30879</v>
          </cell>
          <cell r="Y13">
            <v>30546</v>
          </cell>
          <cell r="Z13">
            <v>28334</v>
          </cell>
          <cell r="AA13">
            <v>28615</v>
          </cell>
          <cell r="AB13">
            <v>20980</v>
          </cell>
          <cell r="AC13">
            <v>27622</v>
          </cell>
          <cell r="AD13">
            <v>33066</v>
          </cell>
          <cell r="AE13">
            <v>31962</v>
          </cell>
          <cell r="AF13">
            <v>31487</v>
          </cell>
          <cell r="AG13">
            <v>23615</v>
          </cell>
          <cell r="AH13">
            <v>20854</v>
          </cell>
          <cell r="AI13">
            <v>25283</v>
          </cell>
        </row>
        <row r="14">
          <cell r="A14">
            <v>11</v>
          </cell>
          <cell r="B14" t="str">
            <v xml:space="preserve">Industrial </v>
          </cell>
          <cell r="D14">
            <v>227005</v>
          </cell>
          <cell r="E14">
            <v>16346</v>
          </cell>
          <cell r="F14">
            <v>15872</v>
          </cell>
          <cell r="G14">
            <v>17977</v>
          </cell>
          <cell r="H14">
            <v>19844</v>
          </cell>
          <cell r="I14">
            <v>15191</v>
          </cell>
          <cell r="J14">
            <v>23564</v>
          </cell>
          <cell r="K14">
            <v>16504</v>
          </cell>
          <cell r="L14">
            <v>17183</v>
          </cell>
          <cell r="M14">
            <v>14762</v>
          </cell>
          <cell r="N14">
            <v>21640</v>
          </cell>
          <cell r="O14">
            <v>26835</v>
          </cell>
          <cell r="P14">
            <v>21287</v>
          </cell>
          <cell r="T14">
            <v>11</v>
          </cell>
          <cell r="U14" t="str">
            <v xml:space="preserve">Industrial </v>
          </cell>
          <cell r="W14">
            <v>208693</v>
          </cell>
          <cell r="X14">
            <v>14695</v>
          </cell>
          <cell r="Y14">
            <v>13551</v>
          </cell>
          <cell r="Z14">
            <v>16784</v>
          </cell>
          <cell r="AA14">
            <v>16178</v>
          </cell>
          <cell r="AB14">
            <v>20580</v>
          </cell>
          <cell r="AC14">
            <v>16890</v>
          </cell>
          <cell r="AD14">
            <v>15683</v>
          </cell>
          <cell r="AE14">
            <v>15572</v>
          </cell>
          <cell r="AF14">
            <v>18843</v>
          </cell>
          <cell r="AG14">
            <v>19672</v>
          </cell>
          <cell r="AH14">
            <v>20205</v>
          </cell>
          <cell r="AI14">
            <v>20040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849388</v>
          </cell>
          <cell r="E16">
            <v>129937</v>
          </cell>
          <cell r="F16">
            <v>97147</v>
          </cell>
          <cell r="G16">
            <v>84414</v>
          </cell>
          <cell r="H16">
            <v>85063</v>
          </cell>
          <cell r="I16">
            <v>54593</v>
          </cell>
          <cell r="J16">
            <v>55929</v>
          </cell>
          <cell r="K16">
            <v>53662</v>
          </cell>
          <cell r="L16">
            <v>50641</v>
          </cell>
          <cell r="M16">
            <v>48586</v>
          </cell>
          <cell r="N16">
            <v>47050</v>
          </cell>
          <cell r="O16">
            <v>60412</v>
          </cell>
          <cell r="P16">
            <v>81954</v>
          </cell>
          <cell r="T16">
            <v>13</v>
          </cell>
          <cell r="U16" t="str">
            <v>Total Deliveries</v>
          </cell>
          <cell r="W16">
            <v>762343</v>
          </cell>
          <cell r="X16">
            <v>88159</v>
          </cell>
          <cell r="Y16">
            <v>82486</v>
          </cell>
          <cell r="Z16">
            <v>76733</v>
          </cell>
          <cell r="AA16">
            <v>67947</v>
          </cell>
          <cell r="AB16">
            <v>50156</v>
          </cell>
          <cell r="AC16">
            <v>51421</v>
          </cell>
          <cell r="AD16">
            <v>54865</v>
          </cell>
          <cell r="AE16">
            <v>53155</v>
          </cell>
          <cell r="AF16">
            <v>56261</v>
          </cell>
          <cell r="AG16">
            <v>49034</v>
          </cell>
          <cell r="AH16">
            <v>55853</v>
          </cell>
          <cell r="AI16">
            <v>76273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1.0497559999999999</v>
          </cell>
          <cell r="F18">
            <v>1.0459400000000001</v>
          </cell>
          <cell r="G18">
            <v>1.0466059999999999</v>
          </cell>
          <cell r="H18">
            <v>1.0426280000000001</v>
          </cell>
          <cell r="I18">
            <v>1.042721</v>
          </cell>
          <cell r="J18">
            <v>1.0458480000000001</v>
          </cell>
          <cell r="K18">
            <v>1.045212</v>
          </cell>
          <cell r="L18">
            <v>1.0416970000000001</v>
          </cell>
          <cell r="M18">
            <v>1.0445580000000001</v>
          </cell>
          <cell r="N18">
            <v>1.0402439999999999</v>
          </cell>
          <cell r="O18">
            <v>1.0414749999999999</v>
          </cell>
          <cell r="P18">
            <v>1.0428999999999999</v>
          </cell>
          <cell r="T18">
            <v>15</v>
          </cell>
          <cell r="X18">
            <v>1.05027</v>
          </cell>
          <cell r="Y18">
            <v>1.04891</v>
          </cell>
          <cell r="Z18">
            <v>1.04809</v>
          </cell>
          <cell r="AA18">
            <v>1.0459099999999999</v>
          </cell>
          <cell r="AB18">
            <v>1.0445599999999999</v>
          </cell>
          <cell r="AC18">
            <v>1.0474600000000001</v>
          </cell>
          <cell r="AD18">
            <v>1.04823</v>
          </cell>
          <cell r="AE18">
            <v>1.04386</v>
          </cell>
          <cell r="AF18">
            <v>1.04697</v>
          </cell>
          <cell r="AG18">
            <v>1.04914</v>
          </cell>
          <cell r="AH18">
            <v>1.0493600000000001</v>
          </cell>
          <cell r="AI18">
            <v>1.05077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289010</v>
          </cell>
          <cell r="E21">
            <v>71599</v>
          </cell>
          <cell r="F21">
            <v>48239</v>
          </cell>
          <cell r="G21">
            <v>37090</v>
          </cell>
          <cell r="H21">
            <v>33878</v>
          </cell>
          <cell r="I21">
            <v>12813</v>
          </cell>
          <cell r="J21">
            <v>6593</v>
          </cell>
          <cell r="K21">
            <v>6506</v>
          </cell>
          <cell r="L21">
            <v>5752</v>
          </cell>
          <cell r="M21">
            <v>5769</v>
          </cell>
          <cell r="N21">
            <v>5896</v>
          </cell>
          <cell r="O21">
            <v>16398</v>
          </cell>
          <cell r="P21">
            <v>38477</v>
          </cell>
          <cell r="T21">
            <v>18</v>
          </cell>
          <cell r="U21" t="str">
            <v>Residential</v>
          </cell>
          <cell r="W21">
            <v>231124</v>
          </cell>
          <cell r="X21">
            <v>44726</v>
          </cell>
          <cell r="Y21">
            <v>40267</v>
          </cell>
          <cell r="Z21">
            <v>33135</v>
          </cell>
          <cell r="AA21">
            <v>24217</v>
          </cell>
          <cell r="AB21">
            <v>8979</v>
          </cell>
          <cell r="AC21">
            <v>7237</v>
          </cell>
          <cell r="AD21">
            <v>6411</v>
          </cell>
          <cell r="AE21">
            <v>5868</v>
          </cell>
          <cell r="AF21">
            <v>6210</v>
          </cell>
          <cell r="AG21">
            <v>6029</v>
          </cell>
          <cell r="AH21">
            <v>15524</v>
          </cell>
          <cell r="AI21">
            <v>32521</v>
          </cell>
        </row>
        <row r="22">
          <cell r="A22">
            <v>19</v>
          </cell>
          <cell r="B22" t="str">
            <v>Commercial</v>
          </cell>
          <cell r="D22">
            <v>361403</v>
          </cell>
          <cell r="E22">
            <v>47644</v>
          </cell>
          <cell r="F22">
            <v>36770</v>
          </cell>
          <cell r="G22">
            <v>32444</v>
          </cell>
          <cell r="H22">
            <v>34121</v>
          </cell>
          <cell r="I22">
            <v>28272</v>
          </cell>
          <cell r="J22">
            <v>27256</v>
          </cell>
          <cell r="K22">
            <v>32332</v>
          </cell>
          <cell r="L22">
            <v>29101</v>
          </cell>
          <cell r="M22">
            <v>29562</v>
          </cell>
          <cell r="N22">
            <v>20536</v>
          </cell>
          <cell r="O22">
            <v>18572</v>
          </cell>
          <cell r="P22">
            <v>24793</v>
          </cell>
          <cell r="T22">
            <v>19</v>
          </cell>
          <cell r="U22" t="str">
            <v>Commercial</v>
          </cell>
          <cell r="W22">
            <v>349161</v>
          </cell>
          <cell r="X22">
            <v>32431</v>
          </cell>
          <cell r="Y22">
            <v>32040</v>
          </cell>
          <cell r="Z22">
            <v>29697</v>
          </cell>
          <cell r="AA22">
            <v>29929</v>
          </cell>
          <cell r="AB22">
            <v>21915</v>
          </cell>
          <cell r="AC22">
            <v>28933</v>
          </cell>
          <cell r="AD22">
            <v>34661</v>
          </cell>
          <cell r="AE22">
            <v>33364</v>
          </cell>
          <cell r="AF22">
            <v>32966</v>
          </cell>
          <cell r="AG22">
            <v>24775</v>
          </cell>
          <cell r="AH22">
            <v>21883</v>
          </cell>
          <cell r="AI22">
            <v>26567</v>
          </cell>
        </row>
        <row r="23">
          <cell r="A23">
            <v>20</v>
          </cell>
          <cell r="B23" t="str">
            <v xml:space="preserve">Industrial </v>
          </cell>
          <cell r="D23">
            <v>236977</v>
          </cell>
          <cell r="E23">
            <v>17159</v>
          </cell>
          <cell r="F23">
            <v>16601</v>
          </cell>
          <cell r="G23">
            <v>18815</v>
          </cell>
          <cell r="H23">
            <v>20690</v>
          </cell>
          <cell r="I23">
            <v>15840</v>
          </cell>
          <cell r="J23">
            <v>24644</v>
          </cell>
          <cell r="K23">
            <v>17250</v>
          </cell>
          <cell r="L23">
            <v>17899</v>
          </cell>
          <cell r="M23">
            <v>15420</v>
          </cell>
          <cell r="N23">
            <v>22511</v>
          </cell>
          <cell r="O23">
            <v>27948</v>
          </cell>
          <cell r="P23">
            <v>22200</v>
          </cell>
          <cell r="T23">
            <v>20</v>
          </cell>
          <cell r="U23" t="str">
            <v xml:space="preserve">Industrial </v>
          </cell>
          <cell r="W23">
            <v>218669</v>
          </cell>
          <cell r="X23">
            <v>15434</v>
          </cell>
          <cell r="Y23">
            <v>14214</v>
          </cell>
          <cell r="Z23">
            <v>17591</v>
          </cell>
          <cell r="AA23">
            <v>16921</v>
          </cell>
          <cell r="AB23">
            <v>21497</v>
          </cell>
          <cell r="AC23">
            <v>17692</v>
          </cell>
          <cell r="AD23">
            <v>16439</v>
          </cell>
          <cell r="AE23">
            <v>16255</v>
          </cell>
          <cell r="AF23">
            <v>19728</v>
          </cell>
          <cell r="AG23">
            <v>20639</v>
          </cell>
          <cell r="AH23">
            <v>21202</v>
          </cell>
          <cell r="AI23">
            <v>21057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887390</v>
          </cell>
          <cell r="E25">
            <v>136402</v>
          </cell>
          <cell r="F25">
            <v>101610</v>
          </cell>
          <cell r="G25">
            <v>88349</v>
          </cell>
          <cell r="H25">
            <v>88689</v>
          </cell>
          <cell r="I25">
            <v>56925</v>
          </cell>
          <cell r="J25">
            <v>58493</v>
          </cell>
          <cell r="K25">
            <v>56088</v>
          </cell>
          <cell r="L25">
            <v>52752</v>
          </cell>
          <cell r="M25">
            <v>50751</v>
          </cell>
          <cell r="N25">
            <v>48943</v>
          </cell>
          <cell r="O25">
            <v>62918</v>
          </cell>
          <cell r="P25">
            <v>85470</v>
          </cell>
          <cell r="T25">
            <v>22</v>
          </cell>
          <cell r="U25" t="str">
            <v>Total Deliveries</v>
          </cell>
          <cell r="W25">
            <v>798954</v>
          </cell>
          <cell r="X25">
            <v>92591</v>
          </cell>
          <cell r="Y25">
            <v>86521</v>
          </cell>
          <cell r="Z25">
            <v>80423</v>
          </cell>
          <cell r="AA25">
            <v>71067</v>
          </cell>
          <cell r="AB25">
            <v>52391</v>
          </cell>
          <cell r="AC25">
            <v>53862</v>
          </cell>
          <cell r="AD25">
            <v>57511</v>
          </cell>
          <cell r="AE25">
            <v>55487</v>
          </cell>
          <cell r="AF25">
            <v>58904</v>
          </cell>
          <cell r="AG25">
            <v>51443</v>
          </cell>
          <cell r="AH25">
            <v>58609</v>
          </cell>
          <cell r="AI25">
            <v>80145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10789</v>
          </cell>
          <cell r="F28">
            <v>10866</v>
          </cell>
          <cell r="G28">
            <v>10913</v>
          </cell>
          <cell r="H28">
            <v>10982</v>
          </cell>
          <cell r="I28">
            <v>11031</v>
          </cell>
          <cell r="J28">
            <v>10074</v>
          </cell>
          <cell r="K28">
            <v>10374</v>
          </cell>
          <cell r="L28">
            <v>10477</v>
          </cell>
          <cell r="M28">
            <v>10556</v>
          </cell>
          <cell r="N28">
            <v>10650</v>
          </cell>
          <cell r="O28">
            <v>10732</v>
          </cell>
          <cell r="P28">
            <v>10851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92933.264881779818</v>
          </cell>
          <cell r="F29">
            <v>97850.537350121216</v>
          </cell>
          <cell r="G29">
            <v>86987.812592687726</v>
          </cell>
          <cell r="H29">
            <v>74174.698919399423</v>
          </cell>
          <cell r="I29">
            <v>55525.254958488302</v>
          </cell>
          <cell r="J29">
            <v>52393.63418152745</v>
          </cell>
          <cell r="K29">
            <v>53421.87211232532</v>
          </cell>
          <cell r="L29">
            <v>53583.770564426763</v>
          </cell>
          <cell r="M29">
            <v>58792.43267001216</v>
          </cell>
          <cell r="N29">
            <v>57733.5507813816</v>
          </cell>
          <cell r="O29">
            <v>56884.828846269171</v>
          </cell>
          <cell r="P29">
            <v>83401.00997024955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96185.9291526421</v>
          </cell>
          <cell r="F30">
            <v>101275.30615737545</v>
          </cell>
          <cell r="G30">
            <v>90032.386033431787</v>
          </cell>
          <cell r="H30">
            <v>76770.813381578395</v>
          </cell>
          <cell r="I30">
            <v>57468.63888203539</v>
          </cell>
          <cell r="J30">
            <v>54227.411377880904</v>
          </cell>
          <cell r="K30">
            <v>55291.637636256703</v>
          </cell>
          <cell r="L30">
            <v>55459.202534181692</v>
          </cell>
          <cell r="M30">
            <v>60850.167813462584</v>
          </cell>
          <cell r="N30">
            <v>59754.22505872995</v>
          </cell>
          <cell r="O30">
            <v>58875.797855888588</v>
          </cell>
          <cell r="P30">
            <v>86320.045319208279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9631</v>
          </cell>
          <cell r="F34">
            <v>9643</v>
          </cell>
          <cell r="G34">
            <v>9647</v>
          </cell>
          <cell r="H34">
            <v>9638</v>
          </cell>
          <cell r="I34">
            <v>9628</v>
          </cell>
          <cell r="J34">
            <v>9622</v>
          </cell>
          <cell r="K34">
            <v>9617</v>
          </cell>
          <cell r="L34">
            <v>9614</v>
          </cell>
          <cell r="M34">
            <v>9611</v>
          </cell>
          <cell r="N34">
            <v>9609</v>
          </cell>
          <cell r="O34">
            <v>9610</v>
          </cell>
          <cell r="P34">
            <v>9615</v>
          </cell>
          <cell r="T34">
            <v>31</v>
          </cell>
          <cell r="U34" t="str">
            <v>Residential</v>
          </cell>
          <cell r="X34">
            <v>9578</v>
          </cell>
          <cell r="Y34">
            <v>9579</v>
          </cell>
          <cell r="Z34">
            <v>9568</v>
          </cell>
          <cell r="AA34">
            <v>9559</v>
          </cell>
          <cell r="AB34">
            <v>9547</v>
          </cell>
          <cell r="AC34">
            <v>9536</v>
          </cell>
          <cell r="AD34">
            <v>9529</v>
          </cell>
          <cell r="AE34">
            <v>9525</v>
          </cell>
          <cell r="AF34">
            <v>9522</v>
          </cell>
          <cell r="AG34">
            <v>9520</v>
          </cell>
          <cell r="AH34">
            <v>9522</v>
          </cell>
          <cell r="AI34">
            <v>9528</v>
          </cell>
        </row>
        <row r="35">
          <cell r="A35">
            <v>32</v>
          </cell>
          <cell r="B35" t="str">
            <v>Commercial</v>
          </cell>
          <cell r="E35">
            <v>1041</v>
          </cell>
          <cell r="F35">
            <v>1040</v>
          </cell>
          <cell r="G35">
            <v>1040</v>
          </cell>
          <cell r="H35">
            <v>1044</v>
          </cell>
          <cell r="I35">
            <v>1052</v>
          </cell>
          <cell r="J35">
            <v>1061</v>
          </cell>
          <cell r="K35">
            <v>1065</v>
          </cell>
          <cell r="L35">
            <v>1069</v>
          </cell>
          <cell r="M35">
            <v>1073</v>
          </cell>
          <cell r="N35">
            <v>1074</v>
          </cell>
          <cell r="O35">
            <v>1074</v>
          </cell>
          <cell r="P35">
            <v>1075</v>
          </cell>
          <cell r="T35">
            <v>32</v>
          </cell>
          <cell r="U35" t="str">
            <v>Commercial</v>
          </cell>
          <cell r="X35">
            <v>1039</v>
          </cell>
          <cell r="Y35">
            <v>1038</v>
          </cell>
          <cell r="Z35">
            <v>1035</v>
          </cell>
          <cell r="AA35">
            <v>1035</v>
          </cell>
          <cell r="AB35">
            <v>1040</v>
          </cell>
          <cell r="AC35">
            <v>1048</v>
          </cell>
          <cell r="AD35">
            <v>1053</v>
          </cell>
          <cell r="AE35">
            <v>1058</v>
          </cell>
          <cell r="AF35">
            <v>1061</v>
          </cell>
          <cell r="AG35">
            <v>1062</v>
          </cell>
          <cell r="AH35">
            <v>1061</v>
          </cell>
          <cell r="AI35">
            <v>1059</v>
          </cell>
        </row>
        <row r="36">
          <cell r="A36">
            <v>33</v>
          </cell>
          <cell r="B36" t="str">
            <v xml:space="preserve">Industrial </v>
          </cell>
          <cell r="E36">
            <v>21</v>
          </cell>
          <cell r="F36">
            <v>21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21</v>
          </cell>
          <cell r="L36">
            <v>21</v>
          </cell>
          <cell r="M36">
            <v>21</v>
          </cell>
          <cell r="N36">
            <v>22</v>
          </cell>
          <cell r="O36">
            <v>22</v>
          </cell>
          <cell r="P36">
            <v>22</v>
          </cell>
          <cell r="T36">
            <v>33</v>
          </cell>
          <cell r="U36" t="str">
            <v xml:space="preserve">Industrial </v>
          </cell>
          <cell r="X36">
            <v>10</v>
          </cell>
          <cell r="Y36">
            <v>14</v>
          </cell>
          <cell r="Z36">
            <v>15</v>
          </cell>
          <cell r="AA36">
            <v>15</v>
          </cell>
          <cell r="AB36">
            <v>16</v>
          </cell>
          <cell r="AC36">
            <v>16</v>
          </cell>
          <cell r="AD36">
            <v>16</v>
          </cell>
          <cell r="AE36">
            <v>16</v>
          </cell>
          <cell r="AF36">
            <v>17</v>
          </cell>
          <cell r="AG36">
            <v>17</v>
          </cell>
          <cell r="AH36">
            <v>17</v>
          </cell>
          <cell r="AI36">
            <v>18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10693</v>
          </cell>
          <cell r="F38">
            <v>10704</v>
          </cell>
          <cell r="G38">
            <v>10707</v>
          </cell>
          <cell r="H38">
            <v>10702</v>
          </cell>
          <cell r="I38">
            <v>10700</v>
          </cell>
          <cell r="J38">
            <v>10703</v>
          </cell>
          <cell r="K38">
            <v>10703</v>
          </cell>
          <cell r="L38">
            <v>10704</v>
          </cell>
          <cell r="M38">
            <v>10705</v>
          </cell>
          <cell r="N38">
            <v>10705</v>
          </cell>
          <cell r="O38">
            <v>10706</v>
          </cell>
          <cell r="P38">
            <v>10712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10627</v>
          </cell>
          <cell r="Y38">
            <v>10631</v>
          </cell>
          <cell r="Z38">
            <v>10618</v>
          </cell>
          <cell r="AA38">
            <v>10609</v>
          </cell>
          <cell r="AB38">
            <v>10603</v>
          </cell>
          <cell r="AC38">
            <v>10600</v>
          </cell>
          <cell r="AD38">
            <v>10598</v>
          </cell>
          <cell r="AE38">
            <v>10599</v>
          </cell>
          <cell r="AF38">
            <v>10600</v>
          </cell>
          <cell r="AG38">
            <v>10599</v>
          </cell>
          <cell r="AH38">
            <v>10600</v>
          </cell>
          <cell r="AI38">
            <v>10605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68205</v>
          </cell>
          <cell r="F41">
            <v>114325</v>
          </cell>
          <cell r="G41">
            <v>149763</v>
          </cell>
          <cell r="H41">
            <v>182256</v>
          </cell>
          <cell r="I41">
            <v>194544</v>
          </cell>
          <cell r="J41">
            <v>200848</v>
          </cell>
          <cell r="K41">
            <v>207073</v>
          </cell>
          <cell r="L41">
            <v>212595</v>
          </cell>
          <cell r="M41">
            <v>218118</v>
          </cell>
          <cell r="N41">
            <v>223786</v>
          </cell>
          <cell r="O41">
            <v>239531</v>
          </cell>
          <cell r="P41">
            <v>276425</v>
          </cell>
          <cell r="T41">
            <v>38</v>
          </cell>
          <cell r="U41" t="str">
            <v>Residential</v>
          </cell>
          <cell r="X41">
            <v>42585</v>
          </cell>
          <cell r="Y41">
            <v>80974</v>
          </cell>
          <cell r="Z41">
            <v>112589</v>
          </cell>
          <cell r="AA41">
            <v>135743</v>
          </cell>
          <cell r="AB41">
            <v>144339</v>
          </cell>
          <cell r="AC41">
            <v>151248</v>
          </cell>
          <cell r="AD41">
            <v>157364</v>
          </cell>
          <cell r="AE41">
            <v>162985</v>
          </cell>
          <cell r="AF41">
            <v>168916</v>
          </cell>
          <cell r="AG41">
            <v>174663</v>
          </cell>
          <cell r="AH41">
            <v>189457</v>
          </cell>
          <cell r="AI41">
            <v>220407</v>
          </cell>
        </row>
        <row r="42">
          <cell r="A42">
            <v>39</v>
          </cell>
          <cell r="B42" t="str">
            <v>Commercial</v>
          </cell>
          <cell r="E42">
            <v>45386</v>
          </cell>
          <cell r="F42">
            <v>80541</v>
          </cell>
          <cell r="G42">
            <v>111540</v>
          </cell>
          <cell r="H42">
            <v>144266</v>
          </cell>
          <cell r="I42">
            <v>171380</v>
          </cell>
          <cell r="J42">
            <v>197441</v>
          </cell>
          <cell r="K42">
            <v>228374</v>
          </cell>
          <cell r="L42">
            <v>256310</v>
          </cell>
          <cell r="M42">
            <v>284611</v>
          </cell>
          <cell r="N42">
            <v>304353</v>
          </cell>
          <cell r="O42">
            <v>322185</v>
          </cell>
          <cell r="P42">
            <v>345958</v>
          </cell>
          <cell r="T42">
            <v>39</v>
          </cell>
          <cell r="U42" t="str">
            <v>Commercial</v>
          </cell>
          <cell r="X42">
            <v>30879</v>
          </cell>
          <cell r="Y42">
            <v>61425</v>
          </cell>
          <cell r="Z42">
            <v>89759</v>
          </cell>
          <cell r="AA42">
            <v>118374</v>
          </cell>
          <cell r="AB42">
            <v>139354</v>
          </cell>
          <cell r="AC42">
            <v>166976</v>
          </cell>
          <cell r="AD42">
            <v>200042</v>
          </cell>
          <cell r="AE42">
            <v>232004</v>
          </cell>
          <cell r="AF42">
            <v>263491</v>
          </cell>
          <cell r="AG42">
            <v>287106</v>
          </cell>
          <cell r="AH42">
            <v>307960</v>
          </cell>
          <cell r="AI42">
            <v>333243</v>
          </cell>
        </row>
        <row r="43">
          <cell r="A43">
            <v>40</v>
          </cell>
          <cell r="B43" t="str">
            <v xml:space="preserve">Industrial </v>
          </cell>
          <cell r="E43">
            <v>16346</v>
          </cell>
          <cell r="F43">
            <v>32218</v>
          </cell>
          <cell r="G43">
            <v>50195</v>
          </cell>
          <cell r="H43">
            <v>70039</v>
          </cell>
          <cell r="I43">
            <v>85230</v>
          </cell>
          <cell r="J43">
            <v>108794</v>
          </cell>
          <cell r="K43">
            <v>125298</v>
          </cell>
          <cell r="L43">
            <v>142481</v>
          </cell>
          <cell r="M43">
            <v>157243</v>
          </cell>
          <cell r="N43">
            <v>178883</v>
          </cell>
          <cell r="O43">
            <v>205718</v>
          </cell>
          <cell r="P43">
            <v>227005</v>
          </cell>
          <cell r="T43">
            <v>40</v>
          </cell>
          <cell r="U43" t="str">
            <v xml:space="preserve">Industrial </v>
          </cell>
          <cell r="X43">
            <v>14695</v>
          </cell>
          <cell r="Y43">
            <v>28246</v>
          </cell>
          <cell r="Z43">
            <v>45030</v>
          </cell>
          <cell r="AA43">
            <v>61208</v>
          </cell>
          <cell r="AB43">
            <v>81788</v>
          </cell>
          <cell r="AC43">
            <v>98678</v>
          </cell>
          <cell r="AD43">
            <v>114361</v>
          </cell>
          <cell r="AE43">
            <v>129933</v>
          </cell>
          <cell r="AF43">
            <v>148776</v>
          </cell>
          <cell r="AG43">
            <v>168448</v>
          </cell>
          <cell r="AH43">
            <v>188653</v>
          </cell>
          <cell r="AI43">
            <v>208693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129937</v>
          </cell>
          <cell r="F45">
            <v>227084</v>
          </cell>
          <cell r="G45">
            <v>311498</v>
          </cell>
          <cell r="H45">
            <v>396561</v>
          </cell>
          <cell r="I45">
            <v>451154</v>
          </cell>
          <cell r="J45">
            <v>507083</v>
          </cell>
          <cell r="K45">
            <v>560745</v>
          </cell>
          <cell r="L45">
            <v>611386</v>
          </cell>
          <cell r="M45">
            <v>659972</v>
          </cell>
          <cell r="N45">
            <v>707022</v>
          </cell>
          <cell r="O45">
            <v>767434</v>
          </cell>
          <cell r="P45">
            <v>849388</v>
          </cell>
          <cell r="T45">
            <v>42</v>
          </cell>
          <cell r="U45" t="str">
            <v>Total Volume</v>
          </cell>
          <cell r="X45">
            <v>88159</v>
          </cell>
          <cell r="Y45">
            <v>170645</v>
          </cell>
          <cell r="Z45">
            <v>247378</v>
          </cell>
          <cell r="AA45">
            <v>315325</v>
          </cell>
          <cell r="AB45">
            <v>365481</v>
          </cell>
          <cell r="AC45">
            <v>416902</v>
          </cell>
          <cell r="AD45">
            <v>471767</v>
          </cell>
          <cell r="AE45">
            <v>524922</v>
          </cell>
          <cell r="AF45">
            <v>581183</v>
          </cell>
          <cell r="AG45">
            <v>630217</v>
          </cell>
          <cell r="AH45">
            <v>686070</v>
          </cell>
          <cell r="AI45">
            <v>762343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71599</v>
          </cell>
          <cell r="F48">
            <v>119838</v>
          </cell>
          <cell r="G48">
            <v>156928</v>
          </cell>
          <cell r="H48">
            <v>190806</v>
          </cell>
          <cell r="I48">
            <v>203619</v>
          </cell>
          <cell r="J48">
            <v>210212</v>
          </cell>
          <cell r="K48">
            <v>216718</v>
          </cell>
          <cell r="L48">
            <v>222470</v>
          </cell>
          <cell r="M48">
            <v>228239</v>
          </cell>
          <cell r="N48">
            <v>234135</v>
          </cell>
          <cell r="O48">
            <v>250533</v>
          </cell>
          <cell r="P48">
            <v>289010</v>
          </cell>
          <cell r="T48">
            <v>45</v>
          </cell>
          <cell r="U48" t="str">
            <v>Residential</v>
          </cell>
          <cell r="X48">
            <v>44726</v>
          </cell>
          <cell r="Y48">
            <v>84993</v>
          </cell>
          <cell r="Z48">
            <v>118128</v>
          </cell>
          <cell r="AA48">
            <v>142345</v>
          </cell>
          <cell r="AB48">
            <v>151324</v>
          </cell>
          <cell r="AC48">
            <v>158561</v>
          </cell>
          <cell r="AD48">
            <v>164972</v>
          </cell>
          <cell r="AE48">
            <v>170840</v>
          </cell>
          <cell r="AF48">
            <v>177050</v>
          </cell>
          <cell r="AG48">
            <v>183079</v>
          </cell>
          <cell r="AH48">
            <v>198603</v>
          </cell>
          <cell r="AI48">
            <v>231124</v>
          </cell>
        </row>
        <row r="49">
          <cell r="A49">
            <v>46</v>
          </cell>
          <cell r="B49" t="str">
            <v>Commercial</v>
          </cell>
          <cell r="E49">
            <v>47644</v>
          </cell>
          <cell r="F49">
            <v>84414</v>
          </cell>
          <cell r="G49">
            <v>116858</v>
          </cell>
          <cell r="H49">
            <v>150979</v>
          </cell>
          <cell r="I49">
            <v>179251</v>
          </cell>
          <cell r="J49">
            <v>206507</v>
          </cell>
          <cell r="K49">
            <v>238839</v>
          </cell>
          <cell r="L49">
            <v>267940</v>
          </cell>
          <cell r="M49">
            <v>297502</v>
          </cell>
          <cell r="N49">
            <v>318038</v>
          </cell>
          <cell r="O49">
            <v>336610</v>
          </cell>
          <cell r="P49">
            <v>361403</v>
          </cell>
          <cell r="T49">
            <v>46</v>
          </cell>
          <cell r="U49" t="str">
            <v>Commercial</v>
          </cell>
          <cell r="X49">
            <v>32431</v>
          </cell>
          <cell r="Y49">
            <v>64471</v>
          </cell>
          <cell r="Z49">
            <v>94168</v>
          </cell>
          <cell r="AA49">
            <v>124097</v>
          </cell>
          <cell r="AB49">
            <v>146012</v>
          </cell>
          <cell r="AC49">
            <v>174945</v>
          </cell>
          <cell r="AD49">
            <v>209606</v>
          </cell>
          <cell r="AE49">
            <v>242970</v>
          </cell>
          <cell r="AF49">
            <v>275936</v>
          </cell>
          <cell r="AG49">
            <v>300711</v>
          </cell>
          <cell r="AH49">
            <v>322594</v>
          </cell>
          <cell r="AI49">
            <v>349161</v>
          </cell>
        </row>
        <row r="50">
          <cell r="A50">
            <v>47</v>
          </cell>
          <cell r="B50" t="str">
            <v xml:space="preserve">Industrial </v>
          </cell>
          <cell r="E50">
            <v>17159</v>
          </cell>
          <cell r="F50">
            <v>33760</v>
          </cell>
          <cell r="G50">
            <v>52575</v>
          </cell>
          <cell r="H50">
            <v>73265</v>
          </cell>
          <cell r="I50">
            <v>89105</v>
          </cell>
          <cell r="J50">
            <v>113749</v>
          </cell>
          <cell r="K50">
            <v>130999</v>
          </cell>
          <cell r="L50">
            <v>148898</v>
          </cell>
          <cell r="M50">
            <v>164318</v>
          </cell>
          <cell r="N50">
            <v>186829</v>
          </cell>
          <cell r="O50">
            <v>214777</v>
          </cell>
          <cell r="P50">
            <v>236977</v>
          </cell>
          <cell r="T50">
            <v>47</v>
          </cell>
          <cell r="U50" t="str">
            <v xml:space="preserve">Industrial </v>
          </cell>
          <cell r="X50">
            <v>15434</v>
          </cell>
          <cell r="Y50">
            <v>29648</v>
          </cell>
          <cell r="Z50">
            <v>47239</v>
          </cell>
          <cell r="AA50">
            <v>64160</v>
          </cell>
          <cell r="AB50">
            <v>85657</v>
          </cell>
          <cell r="AC50">
            <v>103349</v>
          </cell>
          <cell r="AD50">
            <v>119788</v>
          </cell>
          <cell r="AE50">
            <v>136043</v>
          </cell>
          <cell r="AF50">
            <v>155771</v>
          </cell>
          <cell r="AG50">
            <v>176410</v>
          </cell>
          <cell r="AH50">
            <v>197612</v>
          </cell>
          <cell r="AI50">
            <v>218669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136402</v>
          </cell>
          <cell r="F52">
            <v>238012</v>
          </cell>
          <cell r="G52">
            <v>326361</v>
          </cell>
          <cell r="H52">
            <v>415050</v>
          </cell>
          <cell r="I52">
            <v>471975</v>
          </cell>
          <cell r="J52">
            <v>530468</v>
          </cell>
          <cell r="K52">
            <v>586556</v>
          </cell>
          <cell r="L52">
            <v>639308</v>
          </cell>
          <cell r="M52">
            <v>690059</v>
          </cell>
          <cell r="N52">
            <v>739002</v>
          </cell>
          <cell r="O52">
            <v>801920</v>
          </cell>
          <cell r="P52">
            <v>887390</v>
          </cell>
          <cell r="T52">
            <v>49</v>
          </cell>
          <cell r="U52" t="str">
            <v>Total Volume</v>
          </cell>
          <cell r="W52">
            <v>0</v>
          </cell>
          <cell r="X52">
            <v>92591</v>
          </cell>
          <cell r="Y52">
            <v>179112</v>
          </cell>
          <cell r="Z52">
            <v>259535</v>
          </cell>
          <cell r="AA52">
            <v>330602</v>
          </cell>
          <cell r="AB52">
            <v>382993</v>
          </cell>
          <cell r="AC52">
            <v>436855</v>
          </cell>
          <cell r="AD52">
            <v>494366</v>
          </cell>
          <cell r="AE52">
            <v>549853</v>
          </cell>
          <cell r="AF52">
            <v>608757</v>
          </cell>
          <cell r="AG52">
            <v>660200</v>
          </cell>
          <cell r="AH52">
            <v>718809</v>
          </cell>
          <cell r="AI52">
            <v>798954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10789</v>
          </cell>
          <cell r="F55">
            <v>10828</v>
          </cell>
          <cell r="G55">
            <v>10856</v>
          </cell>
          <cell r="H55">
            <v>10888</v>
          </cell>
          <cell r="I55">
            <v>10916</v>
          </cell>
          <cell r="J55">
            <v>10776</v>
          </cell>
          <cell r="K55">
            <v>10718</v>
          </cell>
          <cell r="L55">
            <v>10688</v>
          </cell>
          <cell r="M55">
            <v>10674</v>
          </cell>
          <cell r="N55">
            <v>10671</v>
          </cell>
          <cell r="O55">
            <v>10677</v>
          </cell>
          <cell r="P55">
            <v>10691</v>
          </cell>
        </row>
        <row r="56">
          <cell r="A56">
            <v>53</v>
          </cell>
          <cell r="B56" t="str">
            <v>Cumulative Budget YTD Volume (Mcfs)</v>
          </cell>
          <cell r="E56">
            <v>92933.264881779818</v>
          </cell>
          <cell r="F56">
            <v>190783.80223190103</v>
          </cell>
          <cell r="G56">
            <v>277771.61482458876</v>
          </cell>
          <cell r="H56">
            <v>351946.31374398817</v>
          </cell>
          <cell r="I56">
            <v>407471.56870247645</v>
          </cell>
          <cell r="J56">
            <v>459865.20288400387</v>
          </cell>
          <cell r="K56">
            <v>513287.0749963292</v>
          </cell>
          <cell r="L56">
            <v>566870.84556075593</v>
          </cell>
          <cell r="M56">
            <v>625663.27823076805</v>
          </cell>
          <cell r="N56">
            <v>683396.8290121496</v>
          </cell>
          <cell r="O56">
            <v>740281.65785841877</v>
          </cell>
          <cell r="P56">
            <v>823682.66782866837</v>
          </cell>
        </row>
        <row r="57">
          <cell r="A57">
            <v>54</v>
          </cell>
          <cell r="B57" t="str">
            <v>Cumulative YTD Budget Volume (Dts) * 1.035</v>
          </cell>
          <cell r="E57">
            <v>96185.9291526421</v>
          </cell>
          <cell r="F57">
            <v>197461.23531001754</v>
          </cell>
          <cell r="G57">
            <v>287493.62134344934</v>
          </cell>
          <cell r="H57">
            <v>364264.43472502776</v>
          </cell>
          <cell r="I57">
            <v>421733.07360706315</v>
          </cell>
          <cell r="J57">
            <v>475960.48498494405</v>
          </cell>
          <cell r="K57">
            <v>531252.12262120075</v>
          </cell>
          <cell r="L57">
            <v>586711.32515538239</v>
          </cell>
          <cell r="M57">
            <v>647561.49296884495</v>
          </cell>
          <cell r="N57">
            <v>707315.71802757494</v>
          </cell>
          <cell r="O57">
            <v>766191.51588346355</v>
          </cell>
          <cell r="P57">
            <v>852511.56120267184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16450.25</v>
          </cell>
          <cell r="E5">
            <v>16138</v>
          </cell>
          <cell r="F5">
            <v>16220</v>
          </cell>
          <cell r="G5">
            <v>16311</v>
          </cell>
          <cell r="H5">
            <v>16399</v>
          </cell>
          <cell r="I5">
            <v>16379</v>
          </cell>
          <cell r="J5">
            <v>16395</v>
          </cell>
          <cell r="K5">
            <v>16455</v>
          </cell>
          <cell r="L5">
            <v>16463</v>
          </cell>
          <cell r="M5">
            <v>16533</v>
          </cell>
          <cell r="N5">
            <v>16568</v>
          </cell>
          <cell r="O5">
            <v>16720</v>
          </cell>
          <cell r="P5">
            <v>16822</v>
          </cell>
          <cell r="T5">
            <v>2</v>
          </cell>
          <cell r="U5" t="str">
            <v>Residential</v>
          </cell>
          <cell r="V5">
            <v>15796</v>
          </cell>
          <cell r="W5">
            <v>189548</v>
          </cell>
          <cell r="X5">
            <v>15604</v>
          </cell>
          <cell r="Y5">
            <v>15643</v>
          </cell>
          <cell r="Z5">
            <v>15742</v>
          </cell>
          <cell r="AA5">
            <v>15826</v>
          </cell>
          <cell r="AB5">
            <v>15732</v>
          </cell>
          <cell r="AC5">
            <v>15753</v>
          </cell>
          <cell r="AD5">
            <v>15740</v>
          </cell>
          <cell r="AE5">
            <v>15769</v>
          </cell>
          <cell r="AF5">
            <v>15838</v>
          </cell>
          <cell r="AG5">
            <v>15865</v>
          </cell>
          <cell r="AH5">
            <v>15984</v>
          </cell>
          <cell r="AI5">
            <v>16052</v>
          </cell>
        </row>
        <row r="6">
          <cell r="A6">
            <v>3</v>
          </cell>
          <cell r="B6" t="str">
            <v>Commercial</v>
          </cell>
          <cell r="D6">
            <v>1519.1666666666667</v>
          </cell>
          <cell r="E6">
            <v>1498</v>
          </cell>
          <cell r="F6">
            <v>1502</v>
          </cell>
          <cell r="G6">
            <v>1504</v>
          </cell>
          <cell r="H6">
            <v>1514</v>
          </cell>
          <cell r="I6">
            <v>1520</v>
          </cell>
          <cell r="J6">
            <v>1516</v>
          </cell>
          <cell r="K6">
            <v>1507</v>
          </cell>
          <cell r="L6">
            <v>1507</v>
          </cell>
          <cell r="M6">
            <v>1512</v>
          </cell>
          <cell r="N6">
            <v>1520</v>
          </cell>
          <cell r="O6">
            <v>1528</v>
          </cell>
          <cell r="P6">
            <v>1602</v>
          </cell>
          <cell r="T6">
            <v>3</v>
          </cell>
          <cell r="U6" t="str">
            <v>Commercial</v>
          </cell>
          <cell r="V6">
            <v>1485</v>
          </cell>
          <cell r="W6">
            <v>17820</v>
          </cell>
          <cell r="X6">
            <v>1465</v>
          </cell>
          <cell r="Y6">
            <v>1473</v>
          </cell>
          <cell r="Z6">
            <v>1468</v>
          </cell>
          <cell r="AA6">
            <v>1476</v>
          </cell>
          <cell r="AB6">
            <v>1492</v>
          </cell>
          <cell r="AC6">
            <v>1483</v>
          </cell>
          <cell r="AD6">
            <v>1480</v>
          </cell>
          <cell r="AE6">
            <v>1490</v>
          </cell>
          <cell r="AF6">
            <v>1496</v>
          </cell>
          <cell r="AG6">
            <v>1494</v>
          </cell>
          <cell r="AH6">
            <v>1503</v>
          </cell>
          <cell r="AI6">
            <v>1500</v>
          </cell>
        </row>
        <row r="7">
          <cell r="A7">
            <v>4</v>
          </cell>
          <cell r="B7" t="str">
            <v xml:space="preserve">Industrial </v>
          </cell>
          <cell r="D7">
            <v>16.333333333333332</v>
          </cell>
          <cell r="E7">
            <v>15</v>
          </cell>
          <cell r="F7">
            <v>15</v>
          </cell>
          <cell r="G7">
            <v>15</v>
          </cell>
          <cell r="H7">
            <v>15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17</v>
          </cell>
          <cell r="P7">
            <v>17</v>
          </cell>
          <cell r="T7">
            <v>4</v>
          </cell>
          <cell r="U7" t="str">
            <v xml:space="preserve">Industrial </v>
          </cell>
          <cell r="V7">
            <v>15</v>
          </cell>
          <cell r="W7">
            <v>180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14</v>
          </cell>
          <cell r="AF7">
            <v>15</v>
          </cell>
          <cell r="AG7">
            <v>15</v>
          </cell>
          <cell r="AH7">
            <v>16</v>
          </cell>
          <cell r="AI7">
            <v>17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17985.75</v>
          </cell>
          <cell r="E9">
            <v>17651</v>
          </cell>
          <cell r="F9">
            <v>17737</v>
          </cell>
          <cell r="G9">
            <v>17830</v>
          </cell>
          <cell r="H9">
            <v>17928</v>
          </cell>
          <cell r="I9">
            <v>17916</v>
          </cell>
          <cell r="J9">
            <v>17928</v>
          </cell>
          <cell r="K9">
            <v>17979</v>
          </cell>
          <cell r="L9">
            <v>17987</v>
          </cell>
          <cell r="M9">
            <v>18062</v>
          </cell>
          <cell r="N9">
            <v>18105</v>
          </cell>
          <cell r="O9">
            <v>18265</v>
          </cell>
          <cell r="P9">
            <v>18441</v>
          </cell>
          <cell r="T9">
            <v>6</v>
          </cell>
          <cell r="U9" t="str">
            <v>Total customers</v>
          </cell>
          <cell r="V9">
            <v>17296</v>
          </cell>
          <cell r="W9">
            <v>207548</v>
          </cell>
          <cell r="X9">
            <v>17084</v>
          </cell>
          <cell r="Y9">
            <v>17131</v>
          </cell>
          <cell r="Z9">
            <v>17225</v>
          </cell>
          <cell r="AA9">
            <v>17317</v>
          </cell>
          <cell r="AB9">
            <v>17239</v>
          </cell>
          <cell r="AC9">
            <v>17250</v>
          </cell>
          <cell r="AD9">
            <v>17234</v>
          </cell>
          <cell r="AE9">
            <v>17273</v>
          </cell>
          <cell r="AF9">
            <v>17349</v>
          </cell>
          <cell r="AG9">
            <v>17374</v>
          </cell>
          <cell r="AH9">
            <v>17503</v>
          </cell>
          <cell r="AI9">
            <v>17569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- 2018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359398.38348427304</v>
          </cell>
          <cell r="E12">
            <v>58513.487194468791</v>
          </cell>
          <cell r="F12">
            <v>37865.907099035932</v>
          </cell>
          <cell r="G12">
            <v>40369.364105560424</v>
          </cell>
          <cell r="H12">
            <v>37853.92930178206</v>
          </cell>
          <cell r="I12">
            <v>24110.234686921802</v>
          </cell>
          <cell r="J12">
            <v>21293.212581556141</v>
          </cell>
          <cell r="K12">
            <v>17416.593631317559</v>
          </cell>
          <cell r="L12">
            <v>17066.510857921901</v>
          </cell>
          <cell r="M12">
            <v>17178.011490894925</v>
          </cell>
          <cell r="N12">
            <v>16925.893465770765</v>
          </cell>
          <cell r="O12">
            <v>29335.378323108383</v>
          </cell>
          <cell r="P12">
            <v>41469.860745934362</v>
          </cell>
          <cell r="T12">
            <v>9</v>
          </cell>
          <cell r="U12" t="str">
            <v>Residential</v>
          </cell>
          <cell r="W12">
            <v>329246.37257766095</v>
          </cell>
          <cell r="X12">
            <v>41014.31492842536</v>
          </cell>
          <cell r="Y12">
            <v>36466.744571039046</v>
          </cell>
          <cell r="Z12">
            <v>42267.796280066221</v>
          </cell>
          <cell r="AA12">
            <v>34340.636868244226</v>
          </cell>
          <cell r="AB12">
            <v>20836.108676599473</v>
          </cell>
          <cell r="AC12">
            <v>18842.827928717499</v>
          </cell>
          <cell r="AD12">
            <v>17115.882753919563</v>
          </cell>
          <cell r="AE12">
            <v>15449.897750511247</v>
          </cell>
          <cell r="AF12">
            <v>18978.284156198268</v>
          </cell>
          <cell r="AG12">
            <v>18197.000681663259</v>
          </cell>
          <cell r="AH12">
            <v>30811.374038367903</v>
          </cell>
          <cell r="AI12">
            <v>34925.50394390885</v>
          </cell>
        </row>
        <row r="13">
          <cell r="A13">
            <v>10</v>
          </cell>
          <cell r="B13" t="str">
            <v>Commercial</v>
          </cell>
          <cell r="D13">
            <v>4596092.6088226698</v>
          </cell>
          <cell r="E13">
            <v>428117.92774369463</v>
          </cell>
          <cell r="F13">
            <v>378326.41932028433</v>
          </cell>
          <cell r="G13">
            <v>397114.03252507548</v>
          </cell>
          <cell r="H13">
            <v>382393.90398286103</v>
          </cell>
          <cell r="I13">
            <v>360169.24724900187</v>
          </cell>
          <cell r="J13">
            <v>360236.92667250946</v>
          </cell>
          <cell r="K13">
            <v>361729.76920829678</v>
          </cell>
          <cell r="L13">
            <v>387291.84925503941</v>
          </cell>
          <cell r="M13">
            <v>379223.00126594602</v>
          </cell>
          <cell r="N13">
            <v>380635.31015678257</v>
          </cell>
          <cell r="O13">
            <v>390483.98091342876</v>
          </cell>
          <cell r="P13">
            <v>390370.24052974972</v>
          </cell>
          <cell r="T13">
            <v>10</v>
          </cell>
          <cell r="U13" t="str">
            <v>Commercial</v>
          </cell>
          <cell r="W13">
            <v>4993366.0531697348</v>
          </cell>
          <cell r="X13">
            <v>493630.34375304315</v>
          </cell>
          <cell r="Y13">
            <v>458855.58476969518</v>
          </cell>
          <cell r="Z13">
            <v>472069.04275002435</v>
          </cell>
          <cell r="AA13">
            <v>448234.20001947606</v>
          </cell>
          <cell r="AB13">
            <v>435075.85938260786</v>
          </cell>
          <cell r="AC13">
            <v>416146.7523614763</v>
          </cell>
          <cell r="AD13">
            <v>447703.2817216866</v>
          </cell>
          <cell r="AE13">
            <v>422174.21365274128</v>
          </cell>
          <cell r="AF13">
            <v>273010.0301879443</v>
          </cell>
          <cell r="AG13">
            <v>366608.14100691403</v>
          </cell>
          <cell r="AH13">
            <v>366049.07975460123</v>
          </cell>
          <cell r="AI13">
            <v>393809.52380952379</v>
          </cell>
        </row>
        <row r="14">
          <cell r="A14">
            <v>11</v>
          </cell>
          <cell r="B14" t="str">
            <v xml:space="preserve">Industrial </v>
          </cell>
          <cell r="D14">
            <v>19338137.59859772</v>
          </cell>
          <cell r="E14">
            <v>1103223.7803096699</v>
          </cell>
          <cell r="F14">
            <v>793762.29428376665</v>
          </cell>
          <cell r="G14">
            <v>1088410.4586619923</v>
          </cell>
          <cell r="H14">
            <v>934909.33878663939</v>
          </cell>
          <cell r="I14">
            <v>931591.39156685164</v>
          </cell>
          <cell r="J14">
            <v>1737492.9399162529</v>
          </cell>
          <cell r="K14">
            <v>2089263.5115395852</v>
          </cell>
          <cell r="L14">
            <v>2135557.9900671924</v>
          </cell>
          <cell r="M14">
            <v>2118314.8310448923</v>
          </cell>
          <cell r="N14">
            <v>1991621.2873697537</v>
          </cell>
          <cell r="O14">
            <v>2068151.0371019572</v>
          </cell>
          <cell r="P14">
            <v>2345838.7379491674</v>
          </cell>
          <cell r="T14">
            <v>11</v>
          </cell>
          <cell r="U14" t="str">
            <v xml:space="preserve">Industrial </v>
          </cell>
          <cell r="W14">
            <v>11244275.878858702</v>
          </cell>
          <cell r="X14">
            <v>1146762.8785665596</v>
          </cell>
          <cell r="Y14">
            <v>940021.61846333626</v>
          </cell>
          <cell r="Z14">
            <v>1085242.9642613691</v>
          </cell>
          <cell r="AA14">
            <v>869717.30450871552</v>
          </cell>
          <cell r="AB14">
            <v>1077275.8788587009</v>
          </cell>
          <cell r="AC14">
            <v>839270.71769403061</v>
          </cell>
          <cell r="AD14">
            <v>882172.46080436266</v>
          </cell>
          <cell r="AE14">
            <v>841585.15921706101</v>
          </cell>
          <cell r="AF14">
            <v>604164.5729866589</v>
          </cell>
          <cell r="AG14">
            <v>947170.31843412213</v>
          </cell>
          <cell r="AH14">
            <v>905382.31570746913</v>
          </cell>
          <cell r="AI14">
            <v>1105509.6893563152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24293628.590904664</v>
          </cell>
          <cell r="E16">
            <v>1589855.1952478334</v>
          </cell>
          <cell r="F16">
            <v>1209954.620703087</v>
          </cell>
          <cell r="G16">
            <v>1525893.8552926283</v>
          </cell>
          <cell r="H16">
            <v>1355157.1720712825</v>
          </cell>
          <cell r="I16">
            <v>1315870.8735027753</v>
          </cell>
          <cell r="J16">
            <v>2119023.0791703183</v>
          </cell>
          <cell r="K16">
            <v>2468409.8743791995</v>
          </cell>
          <cell r="L16">
            <v>2539916.3501801537</v>
          </cell>
          <cell r="M16">
            <v>2514715.8438017331</v>
          </cell>
          <cell r="N16">
            <v>2389182.4909923072</v>
          </cell>
          <cell r="O16">
            <v>2487970.3963384945</v>
          </cell>
          <cell r="P16">
            <v>2777678.8392248517</v>
          </cell>
          <cell r="T16">
            <v>13</v>
          </cell>
          <cell r="U16" t="str">
            <v>Total Deliveries</v>
          </cell>
          <cell r="W16">
            <v>16566888.304606099</v>
          </cell>
          <cell r="X16">
            <v>1681407.5372480282</v>
          </cell>
          <cell r="Y16">
            <v>1435343.9478040705</v>
          </cell>
          <cell r="Z16">
            <v>1599579.8032914596</v>
          </cell>
          <cell r="AA16">
            <v>1352292.1413964359</v>
          </cell>
          <cell r="AB16">
            <v>1533187.8469179082</v>
          </cell>
          <cell r="AC16">
            <v>1274260.2979842243</v>
          </cell>
          <cell r="AD16">
            <v>1346991.6252799688</v>
          </cell>
          <cell r="AE16">
            <v>1279209.2706203135</v>
          </cell>
          <cell r="AF16">
            <v>896152.88733080146</v>
          </cell>
          <cell r="AG16">
            <v>1331975.4601226994</v>
          </cell>
          <cell r="AH16">
            <v>1302242.7695004381</v>
          </cell>
          <cell r="AI16">
            <v>1534244.7171097477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- 2018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- 2017 -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369067</v>
          </cell>
          <cell r="E21">
            <v>60088</v>
          </cell>
          <cell r="F21">
            <v>38885</v>
          </cell>
          <cell r="G21">
            <v>41455</v>
          </cell>
          <cell r="H21">
            <v>38872</v>
          </cell>
          <cell r="I21">
            <v>24759</v>
          </cell>
          <cell r="J21">
            <v>21866</v>
          </cell>
          <cell r="K21">
            <v>17885</v>
          </cell>
          <cell r="L21">
            <v>17526</v>
          </cell>
          <cell r="M21">
            <v>17640</v>
          </cell>
          <cell r="N21">
            <v>17381</v>
          </cell>
          <cell r="O21">
            <v>30125</v>
          </cell>
          <cell r="P21">
            <v>42585</v>
          </cell>
          <cell r="T21">
            <v>18</v>
          </cell>
          <cell r="U21" t="str">
            <v>Residential</v>
          </cell>
          <cell r="W21">
            <v>338105</v>
          </cell>
          <cell r="X21">
            <v>42118</v>
          </cell>
          <cell r="Y21">
            <v>37448</v>
          </cell>
          <cell r="Z21">
            <v>43405</v>
          </cell>
          <cell r="AA21">
            <v>35264</v>
          </cell>
          <cell r="AB21">
            <v>21397</v>
          </cell>
          <cell r="AC21">
            <v>19350</v>
          </cell>
          <cell r="AD21">
            <v>17576</v>
          </cell>
          <cell r="AE21">
            <v>15866</v>
          </cell>
          <cell r="AF21">
            <v>19489</v>
          </cell>
          <cell r="AG21">
            <v>18687</v>
          </cell>
          <cell r="AH21">
            <v>31640</v>
          </cell>
          <cell r="AI21">
            <v>35865</v>
          </cell>
        </row>
        <row r="22">
          <cell r="A22">
            <v>19</v>
          </cell>
          <cell r="B22" t="str">
            <v>Commercial</v>
          </cell>
          <cell r="D22">
            <v>4719725</v>
          </cell>
          <cell r="E22">
            <v>439634</v>
          </cell>
          <cell r="F22">
            <v>388503</v>
          </cell>
          <cell r="G22">
            <v>407796</v>
          </cell>
          <cell r="H22">
            <v>392680</v>
          </cell>
          <cell r="I22">
            <v>369858</v>
          </cell>
          <cell r="J22">
            <v>369927</v>
          </cell>
          <cell r="K22">
            <v>371460</v>
          </cell>
          <cell r="L22">
            <v>397710</v>
          </cell>
          <cell r="M22">
            <v>389424</v>
          </cell>
          <cell r="N22">
            <v>390874</v>
          </cell>
          <cell r="O22">
            <v>400988</v>
          </cell>
          <cell r="P22">
            <v>400871</v>
          </cell>
          <cell r="T22">
            <v>19</v>
          </cell>
          <cell r="U22" t="str">
            <v>Commercial</v>
          </cell>
          <cell r="W22">
            <v>5127689</v>
          </cell>
          <cell r="X22">
            <v>506909</v>
          </cell>
          <cell r="Y22">
            <v>471199</v>
          </cell>
          <cell r="Z22">
            <v>484768</v>
          </cell>
          <cell r="AA22">
            <v>460292</v>
          </cell>
          <cell r="AB22">
            <v>446779</v>
          </cell>
          <cell r="AC22">
            <v>427341</v>
          </cell>
          <cell r="AD22">
            <v>459747</v>
          </cell>
          <cell r="AE22">
            <v>433531</v>
          </cell>
          <cell r="AF22">
            <v>280354</v>
          </cell>
          <cell r="AG22">
            <v>376470</v>
          </cell>
          <cell r="AH22">
            <v>375896</v>
          </cell>
          <cell r="AI22">
            <v>404403</v>
          </cell>
        </row>
        <row r="23">
          <cell r="A23">
            <v>20</v>
          </cell>
          <cell r="B23" t="str">
            <v xml:space="preserve">Industrial </v>
          </cell>
          <cell r="D23">
            <v>19858336</v>
          </cell>
          <cell r="E23">
            <v>1132901</v>
          </cell>
          <cell r="F23">
            <v>815115</v>
          </cell>
          <cell r="G23">
            <v>1117689</v>
          </cell>
          <cell r="H23">
            <v>960058</v>
          </cell>
          <cell r="I23">
            <v>956651</v>
          </cell>
          <cell r="J23">
            <v>1784232</v>
          </cell>
          <cell r="K23">
            <v>2145465</v>
          </cell>
          <cell r="L23">
            <v>2193005</v>
          </cell>
          <cell r="M23">
            <v>2175298</v>
          </cell>
          <cell r="N23">
            <v>2045196</v>
          </cell>
          <cell r="O23">
            <v>2123784</v>
          </cell>
          <cell r="P23">
            <v>2408942</v>
          </cell>
          <cell r="T23">
            <v>20</v>
          </cell>
          <cell r="U23" t="str">
            <v xml:space="preserve">Industrial </v>
          </cell>
          <cell r="W23">
            <v>11546748</v>
          </cell>
          <cell r="X23">
            <v>1177611</v>
          </cell>
          <cell r="Y23">
            <v>965308</v>
          </cell>
          <cell r="Z23">
            <v>1114436</v>
          </cell>
          <cell r="AA23">
            <v>893113</v>
          </cell>
          <cell r="AB23">
            <v>1106255</v>
          </cell>
          <cell r="AC23">
            <v>861847</v>
          </cell>
          <cell r="AD23">
            <v>905903</v>
          </cell>
          <cell r="AE23">
            <v>864224</v>
          </cell>
          <cell r="AF23">
            <v>620417</v>
          </cell>
          <cell r="AG23">
            <v>972649</v>
          </cell>
          <cell r="AH23">
            <v>929737</v>
          </cell>
          <cell r="AI23">
            <v>1135248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24947128</v>
          </cell>
          <cell r="E25">
            <v>1632623</v>
          </cell>
          <cell r="F25">
            <v>1242503</v>
          </cell>
          <cell r="G25">
            <v>1566940</v>
          </cell>
          <cell r="H25">
            <v>1391610</v>
          </cell>
          <cell r="I25">
            <v>1351268</v>
          </cell>
          <cell r="J25">
            <v>2176025</v>
          </cell>
          <cell r="K25">
            <v>2534810</v>
          </cell>
          <cell r="L25">
            <v>2608241</v>
          </cell>
          <cell r="M25">
            <v>2582362</v>
          </cell>
          <cell r="N25">
            <v>2453451</v>
          </cell>
          <cell r="O25">
            <v>2554897</v>
          </cell>
          <cell r="P25">
            <v>2852398</v>
          </cell>
          <cell r="T25">
            <v>22</v>
          </cell>
          <cell r="U25" t="str">
            <v>Total Deliveries</v>
          </cell>
          <cell r="W25">
            <v>17012542</v>
          </cell>
          <cell r="X25">
            <v>1726638</v>
          </cell>
          <cell r="Y25">
            <v>1473955</v>
          </cell>
          <cell r="Z25">
            <v>1642609</v>
          </cell>
          <cell r="AA25">
            <v>1388669</v>
          </cell>
          <cell r="AB25">
            <v>1574431</v>
          </cell>
          <cell r="AC25">
            <v>1308538</v>
          </cell>
          <cell r="AD25">
            <v>1383226</v>
          </cell>
          <cell r="AE25">
            <v>1313621</v>
          </cell>
          <cell r="AF25">
            <v>920260</v>
          </cell>
          <cell r="AG25">
            <v>1367806</v>
          </cell>
          <cell r="AH25">
            <v>1337273</v>
          </cell>
          <cell r="AI25">
            <v>1575516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17349</v>
          </cell>
          <cell r="F28">
            <v>17408</v>
          </cell>
          <cell r="G28">
            <v>17495</v>
          </cell>
          <cell r="H28">
            <v>17563</v>
          </cell>
          <cell r="I28">
            <v>17533</v>
          </cell>
          <cell r="J28">
            <v>17477</v>
          </cell>
          <cell r="K28">
            <v>17470</v>
          </cell>
          <cell r="L28">
            <v>17503</v>
          </cell>
          <cell r="M28">
            <v>17535</v>
          </cell>
          <cell r="N28">
            <v>17597</v>
          </cell>
          <cell r="O28">
            <v>17693</v>
          </cell>
          <cell r="P28">
            <v>17820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1387223.196026877</v>
          </cell>
          <cell r="F29">
            <v>1307013.633265167</v>
          </cell>
          <cell r="G29">
            <v>1343516.8955107606</v>
          </cell>
          <cell r="H29">
            <v>2652121.1412990554</v>
          </cell>
          <cell r="I29">
            <v>2842614.47073717</v>
          </cell>
          <cell r="J29">
            <v>2515548.933683903</v>
          </cell>
          <cell r="K29">
            <v>2634230.88908365</v>
          </cell>
          <cell r="L29">
            <v>2541160.7751485053</v>
          </cell>
          <cell r="M29">
            <v>2373158.0484954719</v>
          </cell>
          <cell r="N29">
            <v>2628318.8236439768</v>
          </cell>
          <cell r="O29">
            <v>2610587.6911091637</v>
          </cell>
          <cell r="P29">
            <v>2934587.5937286979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1424540</v>
          </cell>
          <cell r="F30">
            <v>1342172</v>
          </cell>
          <cell r="G30">
            <v>1379658</v>
          </cell>
          <cell r="H30">
            <v>2723463</v>
          </cell>
          <cell r="I30">
            <v>2919081</v>
          </cell>
          <cell r="J30">
            <v>2583217</v>
          </cell>
          <cell r="K30">
            <v>2705092</v>
          </cell>
          <cell r="L30">
            <v>2609518</v>
          </cell>
          <cell r="M30">
            <v>2436996</v>
          </cell>
          <cell r="N30">
            <v>2699021</v>
          </cell>
          <cell r="O30">
            <v>2680813</v>
          </cell>
          <cell r="P30">
            <v>3013528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16138</v>
          </cell>
          <cell r="F34">
            <v>16179</v>
          </cell>
          <cell r="G34">
            <v>16223</v>
          </cell>
          <cell r="H34">
            <v>16267</v>
          </cell>
          <cell r="I34">
            <v>16289</v>
          </cell>
          <cell r="J34">
            <v>16307</v>
          </cell>
          <cell r="K34">
            <v>16328</v>
          </cell>
          <cell r="L34">
            <v>16345</v>
          </cell>
          <cell r="M34">
            <v>16366</v>
          </cell>
          <cell r="N34">
            <v>16386</v>
          </cell>
          <cell r="O34">
            <v>16416</v>
          </cell>
          <cell r="P34">
            <v>16450</v>
          </cell>
          <cell r="T34">
            <v>31</v>
          </cell>
          <cell r="U34" t="str">
            <v>Residential</v>
          </cell>
          <cell r="X34">
            <v>15604</v>
          </cell>
          <cell r="Y34">
            <v>15624</v>
          </cell>
          <cell r="Z34">
            <v>15663</v>
          </cell>
          <cell r="AA34">
            <v>15704</v>
          </cell>
          <cell r="AB34">
            <v>15709</v>
          </cell>
          <cell r="AC34">
            <v>15717</v>
          </cell>
          <cell r="AD34">
            <v>15720</v>
          </cell>
          <cell r="AE34">
            <v>15726</v>
          </cell>
          <cell r="AF34">
            <v>15739</v>
          </cell>
          <cell r="AG34">
            <v>15751</v>
          </cell>
          <cell r="AH34">
            <v>15772</v>
          </cell>
          <cell r="AI34">
            <v>15796</v>
          </cell>
        </row>
        <row r="35">
          <cell r="A35">
            <v>32</v>
          </cell>
          <cell r="B35" t="str">
            <v>Commercial</v>
          </cell>
          <cell r="E35">
            <v>1498</v>
          </cell>
          <cell r="F35">
            <v>1500</v>
          </cell>
          <cell r="G35">
            <v>1501</v>
          </cell>
          <cell r="H35">
            <v>1505</v>
          </cell>
          <cell r="I35">
            <v>1508</v>
          </cell>
          <cell r="J35">
            <v>1509</v>
          </cell>
          <cell r="K35">
            <v>1509</v>
          </cell>
          <cell r="L35">
            <v>1509</v>
          </cell>
          <cell r="M35">
            <v>1509</v>
          </cell>
          <cell r="N35">
            <v>1510</v>
          </cell>
          <cell r="O35">
            <v>1512</v>
          </cell>
          <cell r="P35">
            <v>1519</v>
          </cell>
          <cell r="T35">
            <v>32</v>
          </cell>
          <cell r="U35" t="str">
            <v>Commercial</v>
          </cell>
          <cell r="X35">
            <v>1465</v>
          </cell>
          <cell r="Y35">
            <v>1469</v>
          </cell>
          <cell r="Z35">
            <v>1469</v>
          </cell>
          <cell r="AA35">
            <v>1471</v>
          </cell>
          <cell r="AB35">
            <v>1475</v>
          </cell>
          <cell r="AC35">
            <v>1476</v>
          </cell>
          <cell r="AD35">
            <v>1477</v>
          </cell>
          <cell r="AE35">
            <v>1478</v>
          </cell>
          <cell r="AF35">
            <v>1480</v>
          </cell>
          <cell r="AG35">
            <v>1482</v>
          </cell>
          <cell r="AH35">
            <v>1484</v>
          </cell>
          <cell r="AI35">
            <v>1485</v>
          </cell>
        </row>
        <row r="36">
          <cell r="A36">
            <v>33</v>
          </cell>
          <cell r="B36" t="str">
            <v xml:space="preserve">Industrial </v>
          </cell>
          <cell r="E36">
            <v>15</v>
          </cell>
          <cell r="F36">
            <v>15</v>
          </cell>
          <cell r="G36">
            <v>15</v>
          </cell>
          <cell r="H36">
            <v>15</v>
          </cell>
          <cell r="I36">
            <v>15</v>
          </cell>
          <cell r="J36">
            <v>16</v>
          </cell>
          <cell r="K36">
            <v>16</v>
          </cell>
          <cell r="L36">
            <v>16</v>
          </cell>
          <cell r="M36">
            <v>16</v>
          </cell>
          <cell r="N36">
            <v>16</v>
          </cell>
          <cell r="O36">
            <v>16</v>
          </cell>
          <cell r="P36">
            <v>16</v>
          </cell>
          <cell r="T36">
            <v>33</v>
          </cell>
          <cell r="U36" t="str">
            <v xml:space="preserve">Industrial </v>
          </cell>
          <cell r="X36">
            <v>15</v>
          </cell>
          <cell r="Y36">
            <v>15</v>
          </cell>
          <cell r="Z36">
            <v>15</v>
          </cell>
          <cell r="AA36">
            <v>15</v>
          </cell>
          <cell r="AB36">
            <v>15</v>
          </cell>
          <cell r="AC36">
            <v>15</v>
          </cell>
          <cell r="AD36">
            <v>15</v>
          </cell>
          <cell r="AE36">
            <v>15</v>
          </cell>
          <cell r="AF36">
            <v>15</v>
          </cell>
          <cell r="AG36">
            <v>15</v>
          </cell>
          <cell r="AH36">
            <v>15</v>
          </cell>
          <cell r="AI36">
            <v>15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17651</v>
          </cell>
          <cell r="F38">
            <v>17694</v>
          </cell>
          <cell r="G38">
            <v>17739</v>
          </cell>
          <cell r="H38">
            <v>17787</v>
          </cell>
          <cell r="I38">
            <v>17812</v>
          </cell>
          <cell r="J38">
            <v>17832</v>
          </cell>
          <cell r="K38">
            <v>17853</v>
          </cell>
          <cell r="L38">
            <v>17870</v>
          </cell>
          <cell r="M38">
            <v>17891</v>
          </cell>
          <cell r="N38">
            <v>17912</v>
          </cell>
          <cell r="O38">
            <v>17944</v>
          </cell>
          <cell r="P38">
            <v>17985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17084</v>
          </cell>
          <cell r="Y38">
            <v>17108</v>
          </cell>
          <cell r="Z38">
            <v>17147</v>
          </cell>
          <cell r="AA38">
            <v>17190</v>
          </cell>
          <cell r="AB38">
            <v>17199</v>
          </cell>
          <cell r="AC38">
            <v>17208</v>
          </cell>
          <cell r="AD38">
            <v>17212</v>
          </cell>
          <cell r="AE38">
            <v>17219</v>
          </cell>
          <cell r="AF38">
            <v>17234</v>
          </cell>
          <cell r="AG38">
            <v>17248</v>
          </cell>
          <cell r="AH38">
            <v>17271</v>
          </cell>
          <cell r="AI38">
            <v>17296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58513.487194468791</v>
          </cell>
          <cell r="F41">
            <v>96379.394293504723</v>
          </cell>
          <cell r="G41">
            <v>136748.75839906515</v>
          </cell>
          <cell r="H41">
            <v>174602.68770084722</v>
          </cell>
          <cell r="I41">
            <v>198712.92238776904</v>
          </cell>
          <cell r="J41">
            <v>220006.13496932518</v>
          </cell>
          <cell r="K41">
            <v>237422.72860064273</v>
          </cell>
          <cell r="L41">
            <v>254489.23945856464</v>
          </cell>
          <cell r="M41">
            <v>271667.25094945956</v>
          </cell>
          <cell r="N41">
            <v>288593.14441523032</v>
          </cell>
          <cell r="O41">
            <v>317928.52273833868</v>
          </cell>
          <cell r="P41">
            <v>359398.38348427304</v>
          </cell>
          <cell r="T41">
            <v>38</v>
          </cell>
          <cell r="U41" t="str">
            <v>Residential</v>
          </cell>
          <cell r="X41">
            <v>41014.31492842536</v>
          </cell>
          <cell r="Y41">
            <v>77481.059499464405</v>
          </cell>
          <cell r="Z41">
            <v>119748.85577953063</v>
          </cell>
          <cell r="AA41">
            <v>154089.49264777487</v>
          </cell>
          <cell r="AB41">
            <v>174925.60132437435</v>
          </cell>
          <cell r="AC41">
            <v>193768.42925309186</v>
          </cell>
          <cell r="AD41">
            <v>210884.31200701144</v>
          </cell>
          <cell r="AE41">
            <v>226334.20975752268</v>
          </cell>
          <cell r="AF41">
            <v>245312.49391372094</v>
          </cell>
          <cell r="AG41">
            <v>263509.49459538423</v>
          </cell>
          <cell r="AH41">
            <v>294320.86863375211</v>
          </cell>
          <cell r="AI41">
            <v>329246.37257766095</v>
          </cell>
        </row>
        <row r="42">
          <cell r="A42">
            <v>39</v>
          </cell>
          <cell r="B42" t="str">
            <v>Commercial</v>
          </cell>
          <cell r="E42">
            <v>428117.92774369463</v>
          </cell>
          <cell r="F42">
            <v>806444.3470639789</v>
          </cell>
          <cell r="G42">
            <v>1203558.3795890543</v>
          </cell>
          <cell r="H42">
            <v>1585952.2835719152</v>
          </cell>
          <cell r="I42">
            <v>1946121.5308209171</v>
          </cell>
          <cell r="J42">
            <v>2306358.4574934267</v>
          </cell>
          <cell r="K42">
            <v>2668088.2267017234</v>
          </cell>
          <cell r="L42">
            <v>3055380.0759567628</v>
          </cell>
          <cell r="M42">
            <v>3434603.0772227086</v>
          </cell>
          <cell r="N42">
            <v>3815238.3873794912</v>
          </cell>
          <cell r="O42">
            <v>4205722.3682929203</v>
          </cell>
          <cell r="P42">
            <v>4596092.6088226698</v>
          </cell>
          <cell r="T42">
            <v>39</v>
          </cell>
          <cell r="U42" t="str">
            <v>Commercial</v>
          </cell>
          <cell r="X42">
            <v>493630.34375304315</v>
          </cell>
          <cell r="Y42">
            <v>952485.9285227384</v>
          </cell>
          <cell r="Z42">
            <v>1424554.9712727629</v>
          </cell>
          <cell r="AA42">
            <v>1872789.1712922389</v>
          </cell>
          <cell r="AB42">
            <v>2307865.0306748468</v>
          </cell>
          <cell r="AC42">
            <v>2724011.7830363233</v>
          </cell>
          <cell r="AD42">
            <v>3171715.0647580097</v>
          </cell>
          <cell r="AE42">
            <v>3593889.2784107509</v>
          </cell>
          <cell r="AF42">
            <v>3866899.3085986953</v>
          </cell>
          <cell r="AG42">
            <v>4233507.4496056093</v>
          </cell>
          <cell r="AH42">
            <v>4599556.5293602105</v>
          </cell>
          <cell r="AI42">
            <v>4993366.0531697348</v>
          </cell>
        </row>
        <row r="43">
          <cell r="A43">
            <v>40</v>
          </cell>
          <cell r="B43" t="str">
            <v xml:space="preserve">Industrial </v>
          </cell>
          <cell r="E43">
            <v>1103223.7803096699</v>
          </cell>
          <cell r="F43">
            <v>1896986.0745934364</v>
          </cell>
          <cell r="G43">
            <v>2985396.533255429</v>
          </cell>
          <cell r="H43">
            <v>3920305.8720420683</v>
          </cell>
          <cell r="I43">
            <v>4851897.2636089195</v>
          </cell>
          <cell r="J43">
            <v>6589390.2035251725</v>
          </cell>
          <cell r="K43">
            <v>8678653.7150647584</v>
          </cell>
          <cell r="L43">
            <v>10814211.705131952</v>
          </cell>
          <cell r="M43">
            <v>12932526.536176844</v>
          </cell>
          <cell r="N43">
            <v>14924147.823546598</v>
          </cell>
          <cell r="O43">
            <v>16992298.860648554</v>
          </cell>
          <cell r="P43">
            <v>19338137.59859772</v>
          </cell>
          <cell r="T43">
            <v>40</v>
          </cell>
          <cell r="U43" t="str">
            <v xml:space="preserve">Industrial </v>
          </cell>
          <cell r="X43">
            <v>1146762.8785665596</v>
          </cell>
          <cell r="Y43">
            <v>2086784.4970298959</v>
          </cell>
          <cell r="Z43">
            <v>3172027.4612912647</v>
          </cell>
          <cell r="AA43">
            <v>4041744.7657999801</v>
          </cell>
          <cell r="AB43">
            <v>5119020.644658681</v>
          </cell>
          <cell r="AC43">
            <v>5958291.3623527121</v>
          </cell>
          <cell r="AD43">
            <v>6840463.8231570749</v>
          </cell>
          <cell r="AE43">
            <v>7682048.9823741354</v>
          </cell>
          <cell r="AF43">
            <v>8286213.5553607941</v>
          </cell>
          <cell r="AG43">
            <v>9233383.873794917</v>
          </cell>
          <cell r="AH43">
            <v>10138766.189502386</v>
          </cell>
          <cell r="AI43">
            <v>11244275.878858702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1589855.1952478334</v>
          </cell>
          <cell r="F45">
            <v>2799809.8159509199</v>
          </cell>
          <cell r="G45">
            <v>4325703.6712435484</v>
          </cell>
          <cell r="H45">
            <v>5680860.8433148302</v>
          </cell>
          <cell r="I45">
            <v>6996731.7168176062</v>
          </cell>
          <cell r="J45">
            <v>9115754.7959879246</v>
          </cell>
          <cell r="K45">
            <v>11584164.670367125</v>
          </cell>
          <cell r="L45">
            <v>14124081.020547278</v>
          </cell>
          <cell r="M45">
            <v>16638796.864349011</v>
          </cell>
          <cell r="N45">
            <v>19027979.355341319</v>
          </cell>
          <cell r="O45">
            <v>21515949.751679812</v>
          </cell>
          <cell r="P45">
            <v>24293628.590904664</v>
          </cell>
          <cell r="T45">
            <v>42</v>
          </cell>
          <cell r="U45" t="str">
            <v>Total Volume</v>
          </cell>
          <cell r="X45">
            <v>1681407.5372480282</v>
          </cell>
          <cell r="Y45">
            <v>3116751.4850520985</v>
          </cell>
          <cell r="Z45">
            <v>4716331.2883435581</v>
          </cell>
          <cell r="AA45">
            <v>6068623.429739994</v>
          </cell>
          <cell r="AB45">
            <v>7601811.2766579017</v>
          </cell>
          <cell r="AC45">
            <v>8876071.5746421274</v>
          </cell>
          <cell r="AD45">
            <v>10223063.199922096</v>
          </cell>
          <cell r="AE45">
            <v>11502272.470542409</v>
          </cell>
          <cell r="AF45">
            <v>12398425.357873211</v>
          </cell>
          <cell r="AG45">
            <v>13730400.81799591</v>
          </cell>
          <cell r="AH45">
            <v>15032643.587496348</v>
          </cell>
          <cell r="AI45">
            <v>16566888.304606099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60088</v>
          </cell>
          <cell r="F48">
            <v>98973</v>
          </cell>
          <cell r="G48">
            <v>140428</v>
          </cell>
          <cell r="H48">
            <v>179300</v>
          </cell>
          <cell r="I48">
            <v>204059</v>
          </cell>
          <cell r="J48">
            <v>225925</v>
          </cell>
          <cell r="K48">
            <v>243810</v>
          </cell>
          <cell r="L48">
            <v>261336</v>
          </cell>
          <cell r="M48">
            <v>278976</v>
          </cell>
          <cell r="N48">
            <v>296357</v>
          </cell>
          <cell r="O48">
            <v>326482</v>
          </cell>
          <cell r="P48">
            <v>369067</v>
          </cell>
          <cell r="T48">
            <v>45</v>
          </cell>
          <cell r="U48" t="str">
            <v>Residential</v>
          </cell>
          <cell r="X48">
            <v>42118</v>
          </cell>
          <cell r="Y48">
            <v>79566</v>
          </cell>
          <cell r="Z48">
            <v>122971</v>
          </cell>
          <cell r="AA48">
            <v>158235</v>
          </cell>
          <cell r="AB48">
            <v>179632</v>
          </cell>
          <cell r="AC48">
            <v>198982</v>
          </cell>
          <cell r="AD48">
            <v>216558</v>
          </cell>
          <cell r="AE48">
            <v>232424</v>
          </cell>
          <cell r="AF48">
            <v>251913</v>
          </cell>
          <cell r="AG48">
            <v>270600</v>
          </cell>
          <cell r="AH48">
            <v>302240</v>
          </cell>
          <cell r="AI48">
            <v>338105</v>
          </cell>
        </row>
        <row r="49">
          <cell r="A49">
            <v>46</v>
          </cell>
          <cell r="B49" t="str">
            <v>Commercial</v>
          </cell>
          <cell r="E49">
            <v>439634</v>
          </cell>
          <cell r="F49">
            <v>828137</v>
          </cell>
          <cell r="G49">
            <v>1235933</v>
          </cell>
          <cell r="H49">
            <v>1628613</v>
          </cell>
          <cell r="I49">
            <v>1998471</v>
          </cell>
          <cell r="J49">
            <v>2368398</v>
          </cell>
          <cell r="K49">
            <v>2739858</v>
          </cell>
          <cell r="L49">
            <v>3137568</v>
          </cell>
          <cell r="M49">
            <v>3526992</v>
          </cell>
          <cell r="N49">
            <v>3917866</v>
          </cell>
          <cell r="O49">
            <v>4318854</v>
          </cell>
          <cell r="P49">
            <v>4719725</v>
          </cell>
          <cell r="T49">
            <v>46</v>
          </cell>
          <cell r="U49" t="str">
            <v>Commercial</v>
          </cell>
          <cell r="X49">
            <v>506909</v>
          </cell>
          <cell r="Y49">
            <v>978108</v>
          </cell>
          <cell r="Z49">
            <v>1462876</v>
          </cell>
          <cell r="AA49">
            <v>1923168</v>
          </cell>
          <cell r="AB49">
            <v>2369947</v>
          </cell>
          <cell r="AC49">
            <v>2797288</v>
          </cell>
          <cell r="AD49">
            <v>3257035</v>
          </cell>
          <cell r="AE49">
            <v>3690566</v>
          </cell>
          <cell r="AF49">
            <v>3970920</v>
          </cell>
          <cell r="AG49">
            <v>4347390</v>
          </cell>
          <cell r="AH49">
            <v>4723286</v>
          </cell>
          <cell r="AI49">
            <v>5127689</v>
          </cell>
        </row>
        <row r="50">
          <cell r="A50">
            <v>47</v>
          </cell>
          <cell r="B50" t="str">
            <v xml:space="preserve">Industrial </v>
          </cell>
          <cell r="E50">
            <v>1132901</v>
          </cell>
          <cell r="F50">
            <v>1948016</v>
          </cell>
          <cell r="G50">
            <v>3065705</v>
          </cell>
          <cell r="H50">
            <v>4025763</v>
          </cell>
          <cell r="I50">
            <v>4982414</v>
          </cell>
          <cell r="J50">
            <v>6766646</v>
          </cell>
          <cell r="K50">
            <v>8912111</v>
          </cell>
          <cell r="L50">
            <v>11105116</v>
          </cell>
          <cell r="M50">
            <v>13280414</v>
          </cell>
          <cell r="N50">
            <v>15325610</v>
          </cell>
          <cell r="O50">
            <v>17449394</v>
          </cell>
          <cell r="P50">
            <v>19858336</v>
          </cell>
          <cell r="T50">
            <v>47</v>
          </cell>
          <cell r="U50" t="str">
            <v xml:space="preserve">Industrial </v>
          </cell>
          <cell r="X50">
            <v>1177611</v>
          </cell>
          <cell r="Y50">
            <v>2142919</v>
          </cell>
          <cell r="Z50">
            <v>3257355</v>
          </cell>
          <cell r="AA50">
            <v>4150468</v>
          </cell>
          <cell r="AB50">
            <v>5256723</v>
          </cell>
          <cell r="AC50">
            <v>6118570</v>
          </cell>
          <cell r="AD50">
            <v>7024473</v>
          </cell>
          <cell r="AE50">
            <v>7888697</v>
          </cell>
          <cell r="AF50">
            <v>8509114</v>
          </cell>
          <cell r="AG50">
            <v>9481763</v>
          </cell>
          <cell r="AH50">
            <v>10411500</v>
          </cell>
          <cell r="AI50">
            <v>11546748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1632623</v>
          </cell>
          <cell r="F52">
            <v>2875126</v>
          </cell>
          <cell r="G52">
            <v>4442066</v>
          </cell>
          <cell r="H52">
            <v>5833676</v>
          </cell>
          <cell r="I52">
            <v>7184944</v>
          </cell>
          <cell r="J52">
            <v>9360969</v>
          </cell>
          <cell r="K52">
            <v>11895779</v>
          </cell>
          <cell r="L52">
            <v>14504020</v>
          </cell>
          <cell r="M52">
            <v>17086382</v>
          </cell>
          <cell r="N52">
            <v>19539833</v>
          </cell>
          <cell r="O52">
            <v>22094730</v>
          </cell>
          <cell r="P52">
            <v>24947128</v>
          </cell>
          <cell r="T52">
            <v>49</v>
          </cell>
          <cell r="U52" t="str">
            <v>Total Volume</v>
          </cell>
          <cell r="W52">
            <v>0</v>
          </cell>
          <cell r="X52">
            <v>1726638</v>
          </cell>
          <cell r="Y52">
            <v>3200593</v>
          </cell>
          <cell r="Z52">
            <v>4843202</v>
          </cell>
          <cell r="AA52">
            <v>6231871</v>
          </cell>
          <cell r="AB52">
            <v>7806302</v>
          </cell>
          <cell r="AC52">
            <v>9114840</v>
          </cell>
          <cell r="AD52">
            <v>10498066</v>
          </cell>
          <cell r="AE52">
            <v>11811687</v>
          </cell>
          <cell r="AF52">
            <v>12731947</v>
          </cell>
          <cell r="AG52">
            <v>14099753</v>
          </cell>
          <cell r="AH52">
            <v>15437026</v>
          </cell>
          <cell r="AI52">
            <v>17012542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17349</v>
          </cell>
          <cell r="F55">
            <v>17379</v>
          </cell>
          <cell r="G55">
            <v>17417</v>
          </cell>
          <cell r="H55">
            <v>17454</v>
          </cell>
          <cell r="I55">
            <v>17470</v>
          </cell>
          <cell r="J55">
            <v>17471</v>
          </cell>
          <cell r="K55">
            <v>17471</v>
          </cell>
          <cell r="L55">
            <v>17475</v>
          </cell>
          <cell r="M55">
            <v>17481</v>
          </cell>
          <cell r="N55">
            <v>17493</v>
          </cell>
          <cell r="O55">
            <v>17511</v>
          </cell>
          <cell r="P55">
            <v>17537</v>
          </cell>
        </row>
        <row r="56">
          <cell r="A56">
            <v>53</v>
          </cell>
          <cell r="B56" t="str">
            <v>Cumulative Budget YTD Volume (Mcfs)</v>
          </cell>
          <cell r="E56">
            <v>1387223.196026877</v>
          </cell>
          <cell r="F56">
            <v>2694236.829292044</v>
          </cell>
          <cell r="G56">
            <v>4037753.7248028046</v>
          </cell>
          <cell r="H56">
            <v>6689874.8661018601</v>
          </cell>
          <cell r="I56">
            <v>9532489.3368390296</v>
          </cell>
          <cell r="J56">
            <v>12048038.270522933</v>
          </cell>
          <cell r="K56">
            <v>14682269.159606583</v>
          </cell>
          <cell r="L56">
            <v>17223429.934755087</v>
          </cell>
          <cell r="M56">
            <v>19596587.983250558</v>
          </cell>
          <cell r="N56">
            <v>22224906.806894533</v>
          </cell>
          <cell r="O56">
            <v>24835494.498003699</v>
          </cell>
          <cell r="P56">
            <v>27770082.091732398</v>
          </cell>
        </row>
        <row r="57">
          <cell r="A57">
            <v>54</v>
          </cell>
          <cell r="B57" t="str">
            <v>Cumulative YTD Budget Volume (Dts) * 1.0269</v>
          </cell>
          <cell r="E57">
            <v>1424540</v>
          </cell>
          <cell r="F57">
            <v>2766712</v>
          </cell>
          <cell r="G57">
            <v>4146370</v>
          </cell>
          <cell r="H57">
            <v>6869833</v>
          </cell>
          <cell r="I57">
            <v>9788914</v>
          </cell>
          <cell r="J57">
            <v>12372131</v>
          </cell>
          <cell r="K57">
            <v>15077223</v>
          </cell>
          <cell r="L57">
            <v>17686741</v>
          </cell>
          <cell r="M57">
            <v>20123737</v>
          </cell>
          <cell r="N57">
            <v>22822758</v>
          </cell>
          <cell r="O57">
            <v>25503571</v>
          </cell>
          <cell r="P57">
            <v>28517099</v>
          </cell>
        </row>
      </sheetData>
      <sheetData sheetId="14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55701</v>
          </cell>
          <cell r="D5">
            <v>668413</v>
          </cell>
          <cell r="E5">
            <v>55186</v>
          </cell>
          <cell r="F5">
            <v>55193</v>
          </cell>
          <cell r="G5">
            <v>55462</v>
          </cell>
          <cell r="H5">
            <v>55529</v>
          </cell>
          <cell r="I5">
            <v>55524</v>
          </cell>
          <cell r="J5">
            <v>55687</v>
          </cell>
          <cell r="K5">
            <v>55633</v>
          </cell>
          <cell r="L5">
            <v>55787</v>
          </cell>
          <cell r="M5">
            <v>55868</v>
          </cell>
          <cell r="N5">
            <v>55903</v>
          </cell>
          <cell r="O5">
            <v>56227</v>
          </cell>
          <cell r="P5">
            <v>56414</v>
          </cell>
          <cell r="T5">
            <v>2</v>
          </cell>
          <cell r="U5" t="str">
            <v>Residential</v>
          </cell>
          <cell r="X5">
            <v>53892</v>
          </cell>
          <cell r="Y5">
            <v>54006</v>
          </cell>
          <cell r="Z5">
            <v>54224</v>
          </cell>
          <cell r="AA5">
            <v>54411</v>
          </cell>
          <cell r="AB5">
            <v>54379</v>
          </cell>
          <cell r="AC5">
            <v>54265</v>
          </cell>
          <cell r="AD5">
            <v>54436</v>
          </cell>
          <cell r="AE5">
            <v>54562</v>
          </cell>
          <cell r="AF5">
            <v>54630</v>
          </cell>
          <cell r="AG5">
            <v>54578</v>
          </cell>
          <cell r="AH5">
            <v>54633</v>
          </cell>
          <cell r="AI5">
            <v>54901</v>
          </cell>
        </row>
        <row r="6">
          <cell r="A6">
            <v>3</v>
          </cell>
          <cell r="B6" t="str">
            <v>Commercial</v>
          </cell>
          <cell r="C6">
            <v>3915</v>
          </cell>
          <cell r="D6">
            <v>46983</v>
          </cell>
          <cell r="E6">
            <v>3934</v>
          </cell>
          <cell r="F6">
            <v>3919</v>
          </cell>
          <cell r="G6">
            <v>3929</v>
          </cell>
          <cell r="H6">
            <v>3942</v>
          </cell>
          <cell r="I6">
            <v>3933</v>
          </cell>
          <cell r="J6">
            <v>3909</v>
          </cell>
          <cell r="K6">
            <v>3902</v>
          </cell>
          <cell r="L6">
            <v>3915</v>
          </cell>
          <cell r="M6">
            <v>3920</v>
          </cell>
          <cell r="N6">
            <v>3885</v>
          </cell>
          <cell r="O6">
            <v>3906</v>
          </cell>
          <cell r="P6">
            <v>3889</v>
          </cell>
          <cell r="T6">
            <v>3</v>
          </cell>
          <cell r="U6" t="str">
            <v>Commercial</v>
          </cell>
          <cell r="X6">
            <v>4186</v>
          </cell>
          <cell r="Y6">
            <v>4183</v>
          </cell>
          <cell r="Z6">
            <v>4151</v>
          </cell>
          <cell r="AA6">
            <v>4119</v>
          </cell>
          <cell r="AB6">
            <v>4066</v>
          </cell>
          <cell r="AC6">
            <v>4031</v>
          </cell>
          <cell r="AD6">
            <v>4039</v>
          </cell>
          <cell r="AE6">
            <v>4007</v>
          </cell>
          <cell r="AF6">
            <v>3974</v>
          </cell>
          <cell r="AG6">
            <v>3968</v>
          </cell>
          <cell r="AH6">
            <v>3955</v>
          </cell>
          <cell r="AI6">
            <v>3963</v>
          </cell>
        </row>
        <row r="7">
          <cell r="A7">
            <v>4</v>
          </cell>
          <cell r="B7" t="str">
            <v xml:space="preserve">Industrial </v>
          </cell>
          <cell r="C7">
            <v>2312</v>
          </cell>
          <cell r="D7">
            <v>27738</v>
          </cell>
          <cell r="E7">
            <v>2233</v>
          </cell>
          <cell r="F7">
            <v>2250</v>
          </cell>
          <cell r="G7">
            <v>2270</v>
          </cell>
          <cell r="H7">
            <v>2277</v>
          </cell>
          <cell r="I7">
            <v>2278</v>
          </cell>
          <cell r="J7">
            <v>2305</v>
          </cell>
          <cell r="K7">
            <v>2314</v>
          </cell>
          <cell r="L7">
            <v>2312</v>
          </cell>
          <cell r="M7">
            <v>2360</v>
          </cell>
          <cell r="N7">
            <v>2357</v>
          </cell>
          <cell r="O7">
            <v>2379</v>
          </cell>
          <cell r="P7">
            <v>2403</v>
          </cell>
          <cell r="T7">
            <v>4</v>
          </cell>
          <cell r="U7" t="str">
            <v>Industrial firm</v>
          </cell>
          <cell r="X7">
            <v>1898</v>
          </cell>
          <cell r="Y7">
            <v>1938</v>
          </cell>
          <cell r="Z7">
            <v>1979</v>
          </cell>
          <cell r="AA7">
            <v>2027</v>
          </cell>
          <cell r="AB7">
            <v>2058</v>
          </cell>
          <cell r="AC7">
            <v>2081</v>
          </cell>
          <cell r="AD7">
            <v>2106</v>
          </cell>
          <cell r="AE7">
            <v>2129</v>
          </cell>
          <cell r="AF7">
            <v>2161</v>
          </cell>
          <cell r="AG7">
            <v>2170</v>
          </cell>
          <cell r="AH7">
            <v>2181</v>
          </cell>
          <cell r="AI7">
            <v>2207</v>
          </cell>
        </row>
        <row r="8">
          <cell r="A8">
            <v>5</v>
          </cell>
          <cell r="B8" t="str">
            <v>Other</v>
          </cell>
          <cell r="C8">
            <v>11</v>
          </cell>
          <cell r="D8">
            <v>136</v>
          </cell>
          <cell r="E8">
            <v>10</v>
          </cell>
          <cell r="F8">
            <v>10</v>
          </cell>
          <cell r="G8">
            <v>10</v>
          </cell>
          <cell r="H8">
            <v>10</v>
          </cell>
          <cell r="I8">
            <v>12</v>
          </cell>
          <cell r="J8">
            <v>12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T8">
            <v>5</v>
          </cell>
          <cell r="U8" t="str">
            <v>Other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10</v>
          </cell>
          <cell r="AI8">
            <v>10</v>
          </cell>
        </row>
        <row r="9">
          <cell r="A9">
            <v>6</v>
          </cell>
          <cell r="B9" t="str">
            <v>Total customers</v>
          </cell>
          <cell r="C9">
            <v>61939</v>
          </cell>
          <cell r="D9">
            <v>743270</v>
          </cell>
          <cell r="E9">
            <v>61363</v>
          </cell>
          <cell r="F9">
            <v>61372</v>
          </cell>
          <cell r="G9">
            <v>61671</v>
          </cell>
          <cell r="H9">
            <v>61758</v>
          </cell>
          <cell r="I9">
            <v>61747</v>
          </cell>
          <cell r="J9">
            <v>61913</v>
          </cell>
          <cell r="K9">
            <v>61861</v>
          </cell>
          <cell r="L9">
            <v>62026</v>
          </cell>
          <cell r="M9">
            <v>62160</v>
          </cell>
          <cell r="N9">
            <v>62157</v>
          </cell>
          <cell r="O9">
            <v>62524</v>
          </cell>
          <cell r="P9">
            <v>62718</v>
          </cell>
          <cell r="T9">
            <v>6</v>
          </cell>
          <cell r="U9" t="str">
            <v>Total customers</v>
          </cell>
          <cell r="X9">
            <v>59986</v>
          </cell>
          <cell r="Y9">
            <v>60137</v>
          </cell>
          <cell r="Z9">
            <v>60364</v>
          </cell>
          <cell r="AA9">
            <v>60567</v>
          </cell>
          <cell r="AB9">
            <v>60513</v>
          </cell>
          <cell r="AC9">
            <v>60387</v>
          </cell>
          <cell r="AD9">
            <v>60591</v>
          </cell>
          <cell r="AE9">
            <v>60708</v>
          </cell>
          <cell r="AF9">
            <v>60775</v>
          </cell>
          <cell r="AG9">
            <v>60726</v>
          </cell>
          <cell r="AH9">
            <v>60779</v>
          </cell>
          <cell r="AI9">
            <v>61081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- 2018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- 2017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13937848.540870018</v>
          </cell>
          <cell r="D12">
            <v>1357274.1786804965</v>
          </cell>
          <cell r="E12">
            <v>216758.88596747493</v>
          </cell>
          <cell r="F12">
            <v>152946.73288538319</v>
          </cell>
          <cell r="G12">
            <v>139654.2993475509</v>
          </cell>
          <cell r="H12">
            <v>136000.19476093096</v>
          </cell>
          <cell r="I12">
            <v>98294.770669003788</v>
          </cell>
          <cell r="J12">
            <v>86363.22913623527</v>
          </cell>
          <cell r="K12">
            <v>69725.679228746711</v>
          </cell>
          <cell r="L12">
            <v>66381.341902814296</v>
          </cell>
          <cell r="M12">
            <v>72494.400623234964</v>
          </cell>
          <cell r="N12">
            <v>66786.860538513967</v>
          </cell>
          <cell r="O12">
            <v>99214.169831533785</v>
          </cell>
          <cell r="P12">
            <v>152653.61378907392</v>
          </cell>
          <cell r="T12">
            <v>9</v>
          </cell>
          <cell r="U12" t="str">
            <v>Residential</v>
          </cell>
          <cell r="W12">
            <v>1315039.3417080536</v>
          </cell>
          <cell r="X12">
            <v>169015.09397214919</v>
          </cell>
          <cell r="Y12">
            <v>147300.41873600159</v>
          </cell>
          <cell r="Z12">
            <v>142162.1384750219</v>
          </cell>
          <cell r="AA12">
            <v>128972.24656733859</v>
          </cell>
          <cell r="AB12">
            <v>89320.38173142467</v>
          </cell>
          <cell r="AC12">
            <v>78395.462070308684</v>
          </cell>
          <cell r="AD12">
            <v>68637.063005161181</v>
          </cell>
          <cell r="AE12">
            <v>61647.969617294773</v>
          </cell>
          <cell r="AF12">
            <v>110360.40510273639</v>
          </cell>
          <cell r="AG12">
            <v>75936.02103418055</v>
          </cell>
          <cell r="AH12">
            <v>101296.52351738242</v>
          </cell>
          <cell r="AI12">
            <v>141995.61787905349</v>
          </cell>
        </row>
        <row r="13">
          <cell r="A13">
            <v>10</v>
          </cell>
          <cell r="B13" t="str">
            <v>Commercial</v>
          </cell>
          <cell r="C13">
            <v>17220777.104540002</v>
          </cell>
          <cell r="D13">
            <v>1676967.2903437531</v>
          </cell>
          <cell r="E13">
            <v>190995.81263998442</v>
          </cell>
          <cell r="F13">
            <v>173620.11880416787</v>
          </cell>
          <cell r="G13">
            <v>156898.04265264384</v>
          </cell>
          <cell r="H13">
            <v>157502.97010419707</v>
          </cell>
          <cell r="I13">
            <v>134778.55682150158</v>
          </cell>
          <cell r="J13">
            <v>128588.95705521473</v>
          </cell>
          <cell r="K13">
            <v>107962.31375985977</v>
          </cell>
          <cell r="L13">
            <v>109722.07615152402</v>
          </cell>
          <cell r="M13">
            <v>110575.32379004773</v>
          </cell>
          <cell r="N13">
            <v>103195.66107118512</v>
          </cell>
          <cell r="O13">
            <v>137727.76024929405</v>
          </cell>
          <cell r="P13">
            <v>165399.69724413284</v>
          </cell>
          <cell r="T13">
            <v>10</v>
          </cell>
          <cell r="U13" t="str">
            <v>Commercial</v>
          </cell>
          <cell r="W13">
            <v>1814340.9290096406</v>
          </cell>
          <cell r="X13">
            <v>203694.61486025903</v>
          </cell>
          <cell r="Y13">
            <v>189911.38377641444</v>
          </cell>
          <cell r="Z13">
            <v>191848.37861524979</v>
          </cell>
          <cell r="AA13">
            <v>173820.04089979551</v>
          </cell>
          <cell r="AB13">
            <v>138403.1551270815</v>
          </cell>
          <cell r="AC13">
            <v>135097.38046547861</v>
          </cell>
          <cell r="AD13">
            <v>124160.48300710876</v>
          </cell>
          <cell r="AE13">
            <v>114400.72061544456</v>
          </cell>
          <cell r="AF13">
            <v>118161.06728990164</v>
          </cell>
          <cell r="AG13">
            <v>116538.70873502774</v>
          </cell>
          <cell r="AH13">
            <v>143460.1226993865</v>
          </cell>
          <cell r="AI13">
            <v>164844.87291849253</v>
          </cell>
        </row>
        <row r="14">
          <cell r="A14">
            <v>11</v>
          </cell>
          <cell r="B14" t="str">
            <v xml:space="preserve">Industrial </v>
          </cell>
          <cell r="C14">
            <v>49009967.9956</v>
          </cell>
          <cell r="D14">
            <v>4772613.4965040414</v>
          </cell>
          <cell r="E14">
            <v>448369.94838835328</v>
          </cell>
          <cell r="F14">
            <v>408576.20021423697</v>
          </cell>
          <cell r="G14">
            <v>413411.04294478527</v>
          </cell>
          <cell r="H14">
            <v>421346.09017431102</v>
          </cell>
          <cell r="I14">
            <v>400164.47560619342</v>
          </cell>
          <cell r="J14">
            <v>391801.2464699581</v>
          </cell>
          <cell r="K14">
            <v>367170.61057551851</v>
          </cell>
          <cell r="L14">
            <v>368403.44726847793</v>
          </cell>
          <cell r="M14">
            <v>365115.39585159218</v>
          </cell>
          <cell r="N14">
            <v>366462.4</v>
          </cell>
          <cell r="O14">
            <v>397902.63901061448</v>
          </cell>
          <cell r="P14">
            <v>423890</v>
          </cell>
          <cell r="T14">
            <v>11</v>
          </cell>
          <cell r="U14" t="str">
            <v>Industrial firm</v>
          </cell>
          <cell r="W14">
            <v>4424749.3426818578</v>
          </cell>
          <cell r="X14">
            <v>400776.21969033009</v>
          </cell>
          <cell r="Y14">
            <v>365848.6707566462</v>
          </cell>
          <cell r="Z14">
            <v>391484.75995715259</v>
          </cell>
          <cell r="AA14">
            <v>364629.46732885379</v>
          </cell>
          <cell r="AB14">
            <v>356034.37530431396</v>
          </cell>
          <cell r="AC14">
            <v>350939.91625279968</v>
          </cell>
          <cell r="AD14">
            <v>375904.56714383099</v>
          </cell>
          <cell r="AE14">
            <v>360230.69432271883</v>
          </cell>
          <cell r="AF14">
            <v>318204.2068361087</v>
          </cell>
          <cell r="AG14">
            <v>368503.94390885194</v>
          </cell>
          <cell r="AH14">
            <v>366365.17674554483</v>
          </cell>
          <cell r="AI14">
            <v>405827.34443470644</v>
          </cell>
        </row>
        <row r="15">
          <cell r="A15">
            <v>12</v>
          </cell>
          <cell r="B15" t="str">
            <v>Other</v>
          </cell>
          <cell r="C15">
            <v>23388139.905850004</v>
          </cell>
          <cell r="D15">
            <v>2277547.9507108778</v>
          </cell>
          <cell r="E15">
            <v>194736.14383094752</v>
          </cell>
          <cell r="F15">
            <v>101655.32671146168</v>
          </cell>
          <cell r="G15">
            <v>210479.89093387866</v>
          </cell>
          <cell r="H15">
            <v>165609.0174311033</v>
          </cell>
          <cell r="I15">
            <v>165121.14129905539</v>
          </cell>
          <cell r="J15">
            <v>121251.44882656538</v>
          </cell>
          <cell r="K15">
            <v>128508.77797253871</v>
          </cell>
          <cell r="L15">
            <v>154373.17908267601</v>
          </cell>
          <cell r="M15">
            <v>140698.95121238678</v>
          </cell>
          <cell r="N15">
            <v>212772.25716720225</v>
          </cell>
          <cell r="O15">
            <v>203879.03593339177</v>
          </cell>
          <cell r="P15">
            <v>478462.78030966991</v>
          </cell>
          <cell r="T15">
            <v>12</v>
          </cell>
          <cell r="U15" t="str">
            <v>Other</v>
          </cell>
          <cell r="W15">
            <v>1826625.8100107121</v>
          </cell>
          <cell r="X15">
            <v>163423.28269549127</v>
          </cell>
          <cell r="Y15">
            <v>143313.67319115787</v>
          </cell>
          <cell r="Z15">
            <v>168392.62245593534</v>
          </cell>
          <cell r="AA15">
            <v>140425.77359041772</v>
          </cell>
          <cell r="AB15">
            <v>162372.18229623136</v>
          </cell>
          <cell r="AC15">
            <v>144374.66647190572</v>
          </cell>
          <cell r="AD15">
            <v>91504.399552049857</v>
          </cell>
          <cell r="AE15">
            <v>120529.95423118121</v>
          </cell>
          <cell r="AF15">
            <v>114075.54825202063</v>
          </cell>
          <cell r="AG15">
            <v>183923.95228357191</v>
          </cell>
          <cell r="AH15">
            <v>193762.82724705423</v>
          </cell>
          <cell r="AI15">
            <v>200526.92774369463</v>
          </cell>
        </row>
        <row r="16">
          <cell r="A16">
            <v>13</v>
          </cell>
          <cell r="B16" t="str">
            <v>Total Deliveries</v>
          </cell>
          <cell r="D16">
            <v>10084402.916239168</v>
          </cell>
          <cell r="E16">
            <v>1050860.7908267602</v>
          </cell>
          <cell r="F16">
            <v>836798.37861524965</v>
          </cell>
          <cell r="G16">
            <v>920443.27587885875</v>
          </cell>
          <cell r="H16">
            <v>880458.27247054235</v>
          </cell>
          <cell r="I16">
            <v>798358.94439575425</v>
          </cell>
          <cell r="J16">
            <v>728004.8814879735</v>
          </cell>
          <cell r="K16">
            <v>673367.38153666374</v>
          </cell>
          <cell r="L16">
            <v>698880.04440549226</v>
          </cell>
          <cell r="M16">
            <v>688884.0714772616</v>
          </cell>
          <cell r="N16">
            <v>749217.17877690145</v>
          </cell>
          <cell r="O16">
            <v>838723.60502483405</v>
          </cell>
          <cell r="P16">
            <v>1220406.0913428767</v>
          </cell>
          <cell r="T16">
            <v>13</v>
          </cell>
          <cell r="U16" t="str">
            <v>Total Deliveries</v>
          </cell>
          <cell r="W16">
            <v>9380755.4234102648</v>
          </cell>
          <cell r="X16">
            <v>936909.21121822949</v>
          </cell>
          <cell r="Y16">
            <v>846374.1464602201</v>
          </cell>
          <cell r="Z16">
            <v>893887.89950335969</v>
          </cell>
          <cell r="AA16">
            <v>807847.52838640555</v>
          </cell>
          <cell r="AB16">
            <v>746130.0944590515</v>
          </cell>
          <cell r="AC16">
            <v>708807.4252604926</v>
          </cell>
          <cell r="AD16">
            <v>660206.51270815078</v>
          </cell>
          <cell r="AE16">
            <v>656809.33878663927</v>
          </cell>
          <cell r="AF16">
            <v>660801.22748076741</v>
          </cell>
          <cell r="AG16">
            <v>744902.62596163223</v>
          </cell>
          <cell r="AH16">
            <v>804884.65020936797</v>
          </cell>
          <cell r="AI16">
            <v>913194.76297594712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54464</v>
          </cell>
          <cell r="D21">
            <v>653563</v>
          </cell>
          <cell r="E21">
            <v>53933</v>
          </cell>
          <cell r="F21">
            <v>53941</v>
          </cell>
          <cell r="G21">
            <v>54205</v>
          </cell>
          <cell r="H21">
            <v>54282</v>
          </cell>
          <cell r="I21">
            <v>54288</v>
          </cell>
          <cell r="J21">
            <v>54459</v>
          </cell>
          <cell r="K21">
            <v>54403</v>
          </cell>
          <cell r="L21">
            <v>54557</v>
          </cell>
          <cell r="M21">
            <v>54637</v>
          </cell>
          <cell r="N21">
            <v>54677</v>
          </cell>
          <cell r="O21">
            <v>54995</v>
          </cell>
          <cell r="P21">
            <v>55186</v>
          </cell>
          <cell r="T21">
            <v>18</v>
          </cell>
          <cell r="U21" t="str">
            <v>Residential</v>
          </cell>
          <cell r="X21">
            <v>52607</v>
          </cell>
          <cell r="Y21">
            <v>52722</v>
          </cell>
          <cell r="Z21">
            <v>52934</v>
          </cell>
          <cell r="AA21">
            <v>53124</v>
          </cell>
          <cell r="AB21">
            <v>53115</v>
          </cell>
          <cell r="AC21">
            <v>53003</v>
          </cell>
          <cell r="AD21">
            <v>53186</v>
          </cell>
          <cell r="AE21">
            <v>53318</v>
          </cell>
          <cell r="AF21">
            <v>53389</v>
          </cell>
          <cell r="AG21">
            <v>53341</v>
          </cell>
          <cell r="AH21">
            <v>53389</v>
          </cell>
          <cell r="AI21">
            <v>53653</v>
          </cell>
        </row>
        <row r="22">
          <cell r="A22">
            <v>19</v>
          </cell>
          <cell r="B22" t="str">
            <v>Commercial Small</v>
          </cell>
          <cell r="C22">
            <v>3171</v>
          </cell>
          <cell r="D22">
            <v>38053</v>
          </cell>
          <cell r="E22">
            <v>3181</v>
          </cell>
          <cell r="F22">
            <v>3167</v>
          </cell>
          <cell r="G22">
            <v>3179</v>
          </cell>
          <cell r="H22">
            <v>3189</v>
          </cell>
          <cell r="I22">
            <v>3186</v>
          </cell>
          <cell r="J22">
            <v>3167</v>
          </cell>
          <cell r="K22">
            <v>3176</v>
          </cell>
          <cell r="L22">
            <v>3176</v>
          </cell>
          <cell r="M22">
            <v>3182</v>
          </cell>
          <cell r="N22">
            <v>3144</v>
          </cell>
          <cell r="O22">
            <v>3153</v>
          </cell>
          <cell r="P22">
            <v>3153</v>
          </cell>
          <cell r="T22">
            <v>19</v>
          </cell>
          <cell r="U22" t="str">
            <v>Commercial Small</v>
          </cell>
          <cell r="X22">
            <v>3321</v>
          </cell>
          <cell r="Y22">
            <v>3322</v>
          </cell>
          <cell r="Z22">
            <v>3303</v>
          </cell>
          <cell r="AA22">
            <v>3282</v>
          </cell>
          <cell r="AB22">
            <v>3250</v>
          </cell>
          <cell r="AC22">
            <v>3235</v>
          </cell>
          <cell r="AD22">
            <v>3244</v>
          </cell>
          <cell r="AE22">
            <v>3228</v>
          </cell>
          <cell r="AF22">
            <v>3209</v>
          </cell>
          <cell r="AG22">
            <v>3198</v>
          </cell>
          <cell r="AH22">
            <v>3185</v>
          </cell>
          <cell r="AI22">
            <v>3201</v>
          </cell>
        </row>
        <row r="23">
          <cell r="A23">
            <v>20</v>
          </cell>
          <cell r="B23" t="str">
            <v>Commercial Large</v>
          </cell>
          <cell r="C23">
            <v>671</v>
          </cell>
          <cell r="D23">
            <v>8053</v>
          </cell>
          <cell r="E23">
            <v>676</v>
          </cell>
          <cell r="F23">
            <v>677</v>
          </cell>
          <cell r="G23">
            <v>675</v>
          </cell>
          <cell r="H23">
            <v>676</v>
          </cell>
          <cell r="I23">
            <v>673</v>
          </cell>
          <cell r="J23">
            <v>668</v>
          </cell>
          <cell r="K23">
            <v>652</v>
          </cell>
          <cell r="L23">
            <v>665</v>
          </cell>
          <cell r="M23">
            <v>665</v>
          </cell>
          <cell r="N23">
            <v>669</v>
          </cell>
          <cell r="O23">
            <v>685</v>
          </cell>
          <cell r="P23">
            <v>672</v>
          </cell>
          <cell r="T23">
            <v>20</v>
          </cell>
          <cell r="U23" t="str">
            <v>Commercial Large</v>
          </cell>
          <cell r="X23">
            <v>780</v>
          </cell>
          <cell r="Y23">
            <v>776</v>
          </cell>
          <cell r="Z23">
            <v>763</v>
          </cell>
          <cell r="AA23">
            <v>756</v>
          </cell>
          <cell r="AB23">
            <v>738</v>
          </cell>
          <cell r="AC23">
            <v>720</v>
          </cell>
          <cell r="AD23">
            <v>718</v>
          </cell>
          <cell r="AE23">
            <v>702</v>
          </cell>
          <cell r="AF23">
            <v>689</v>
          </cell>
          <cell r="AG23">
            <v>693</v>
          </cell>
          <cell r="AH23">
            <v>694</v>
          </cell>
          <cell r="AI23">
            <v>686</v>
          </cell>
        </row>
        <row r="24">
          <cell r="A24">
            <v>21</v>
          </cell>
          <cell r="B24" t="str">
            <v>Outdoor Lights</v>
          </cell>
          <cell r="C24">
            <v>49</v>
          </cell>
          <cell r="D24">
            <v>588</v>
          </cell>
          <cell r="E24">
            <v>53</v>
          </cell>
          <cell r="F24">
            <v>51</v>
          </cell>
          <cell r="G24">
            <v>51</v>
          </cell>
          <cell r="H24">
            <v>52</v>
          </cell>
          <cell r="I24">
            <v>50</v>
          </cell>
          <cell r="J24">
            <v>50</v>
          </cell>
          <cell r="K24">
            <v>50</v>
          </cell>
          <cell r="L24">
            <v>50</v>
          </cell>
          <cell r="M24">
            <v>49</v>
          </cell>
          <cell r="N24">
            <v>48</v>
          </cell>
          <cell r="O24">
            <v>44</v>
          </cell>
          <cell r="P24">
            <v>40</v>
          </cell>
          <cell r="T24">
            <v>21</v>
          </cell>
          <cell r="U24" t="str">
            <v>Outdoor Lights</v>
          </cell>
          <cell r="X24">
            <v>60</v>
          </cell>
          <cell r="Y24">
            <v>60</v>
          </cell>
          <cell r="Z24">
            <v>60</v>
          </cell>
          <cell r="AA24">
            <v>56</v>
          </cell>
          <cell r="AB24">
            <v>54</v>
          </cell>
          <cell r="AC24">
            <v>52</v>
          </cell>
          <cell r="AD24">
            <v>52</v>
          </cell>
          <cell r="AE24">
            <v>52</v>
          </cell>
          <cell r="AF24">
            <v>52</v>
          </cell>
          <cell r="AG24">
            <v>53</v>
          </cell>
          <cell r="AH24">
            <v>52</v>
          </cell>
          <cell r="AI24">
            <v>52</v>
          </cell>
        </row>
        <row r="25">
          <cell r="A25">
            <v>22</v>
          </cell>
          <cell r="B25" t="str">
            <v>Interdepartmental/Special Contracts</v>
          </cell>
          <cell r="C25">
            <v>4</v>
          </cell>
          <cell r="D25">
            <v>52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T25">
            <v>22</v>
          </cell>
          <cell r="U25" t="str">
            <v>Interdepartmental/Special Contracts</v>
          </cell>
          <cell r="X25">
            <v>3</v>
          </cell>
          <cell r="Y25">
            <v>3</v>
          </cell>
          <cell r="Z25">
            <v>3</v>
          </cell>
          <cell r="AA25">
            <v>3</v>
          </cell>
          <cell r="AB25">
            <v>3</v>
          </cell>
          <cell r="AC25">
            <v>3</v>
          </cell>
          <cell r="AD25">
            <v>3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3</v>
          </cell>
        </row>
        <row r="26">
          <cell r="A26">
            <v>23</v>
          </cell>
          <cell r="B26" t="str">
            <v>Commercial Small Transp</v>
          </cell>
          <cell r="C26">
            <v>1064</v>
          </cell>
          <cell r="D26">
            <v>12770</v>
          </cell>
          <cell r="E26">
            <v>1000</v>
          </cell>
          <cell r="F26">
            <v>1015</v>
          </cell>
          <cell r="G26">
            <v>1025</v>
          </cell>
          <cell r="H26">
            <v>1028</v>
          </cell>
          <cell r="I26">
            <v>1035</v>
          </cell>
          <cell r="J26">
            <v>1053</v>
          </cell>
          <cell r="K26">
            <v>1056</v>
          </cell>
          <cell r="L26">
            <v>1056</v>
          </cell>
          <cell r="M26">
            <v>1109</v>
          </cell>
          <cell r="N26">
            <v>1114</v>
          </cell>
          <cell r="O26">
            <v>1134</v>
          </cell>
          <cell r="P26">
            <v>1145</v>
          </cell>
          <cell r="T26">
            <v>23</v>
          </cell>
          <cell r="U26" t="str">
            <v>Commercial Small Transp</v>
          </cell>
          <cell r="X26">
            <v>793</v>
          </cell>
          <cell r="Y26">
            <v>819</v>
          </cell>
          <cell r="Z26">
            <v>843</v>
          </cell>
          <cell r="AA26">
            <v>875</v>
          </cell>
          <cell r="AB26">
            <v>897</v>
          </cell>
          <cell r="AC26">
            <v>908</v>
          </cell>
          <cell r="AD26">
            <v>919</v>
          </cell>
          <cell r="AE26">
            <v>936</v>
          </cell>
          <cell r="AF26">
            <v>957</v>
          </cell>
          <cell r="AG26">
            <v>962</v>
          </cell>
          <cell r="AH26">
            <v>972</v>
          </cell>
          <cell r="AI26">
            <v>984</v>
          </cell>
        </row>
        <row r="27">
          <cell r="A27">
            <v>24</v>
          </cell>
          <cell r="B27" t="str">
            <v>Commercial Large Transp</v>
          </cell>
          <cell r="C27">
            <v>1208</v>
          </cell>
          <cell r="D27">
            <v>14497</v>
          </cell>
          <cell r="E27">
            <v>1195</v>
          </cell>
          <cell r="F27">
            <v>1198</v>
          </cell>
          <cell r="G27">
            <v>1205</v>
          </cell>
          <cell r="H27">
            <v>1209</v>
          </cell>
          <cell r="I27">
            <v>1203</v>
          </cell>
          <cell r="J27">
            <v>1213</v>
          </cell>
          <cell r="K27">
            <v>1219</v>
          </cell>
          <cell r="L27">
            <v>1217</v>
          </cell>
          <cell r="M27">
            <v>1211</v>
          </cell>
          <cell r="N27">
            <v>1203</v>
          </cell>
          <cell r="O27">
            <v>1205</v>
          </cell>
          <cell r="P27">
            <v>1219</v>
          </cell>
          <cell r="T27">
            <v>24</v>
          </cell>
          <cell r="U27" t="str">
            <v>Commercial Large Transp</v>
          </cell>
          <cell r="X27">
            <v>1066</v>
          </cell>
          <cell r="Y27">
            <v>1080</v>
          </cell>
          <cell r="Z27">
            <v>1097</v>
          </cell>
          <cell r="AA27">
            <v>1111</v>
          </cell>
          <cell r="AB27">
            <v>1122</v>
          </cell>
          <cell r="AC27">
            <v>1136</v>
          </cell>
          <cell r="AD27">
            <v>1149</v>
          </cell>
          <cell r="AE27">
            <v>1155</v>
          </cell>
          <cell r="AF27">
            <v>1165</v>
          </cell>
          <cell r="AG27">
            <v>1169</v>
          </cell>
          <cell r="AH27">
            <v>1170</v>
          </cell>
          <cell r="AI27">
            <v>1185</v>
          </cell>
        </row>
        <row r="28">
          <cell r="A28">
            <v>25</v>
          </cell>
          <cell r="B28" t="str">
            <v>Interruptible Transp</v>
          </cell>
          <cell r="C28">
            <v>17</v>
          </cell>
          <cell r="D28">
            <v>207</v>
          </cell>
          <cell r="E28">
            <v>17</v>
          </cell>
          <cell r="F28">
            <v>17</v>
          </cell>
          <cell r="G28">
            <v>17</v>
          </cell>
          <cell r="H28">
            <v>17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17</v>
          </cell>
          <cell r="T28">
            <v>25</v>
          </cell>
          <cell r="U28" t="str">
            <v>Interruptible Transp</v>
          </cell>
          <cell r="X28">
            <v>18</v>
          </cell>
          <cell r="Y28">
            <v>19</v>
          </cell>
          <cell r="Z28">
            <v>19</v>
          </cell>
          <cell r="AA28">
            <v>20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17</v>
          </cell>
          <cell r="AG28">
            <v>17</v>
          </cell>
          <cell r="AH28">
            <v>17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>
            <v>27</v>
          </cell>
          <cell r="D30">
            <v>727783</v>
          </cell>
          <cell r="E30">
            <v>60058</v>
          </cell>
          <cell r="F30">
            <v>60069</v>
          </cell>
          <cell r="G30">
            <v>60360</v>
          </cell>
          <cell r="H30">
            <v>60456</v>
          </cell>
          <cell r="I30">
            <v>60457</v>
          </cell>
          <cell r="J30">
            <v>60632</v>
          </cell>
          <cell r="K30">
            <v>60578</v>
          </cell>
          <cell r="L30">
            <v>60743</v>
          </cell>
          <cell r="M30">
            <v>60876</v>
          </cell>
          <cell r="N30">
            <v>60878</v>
          </cell>
          <cell r="O30">
            <v>61239</v>
          </cell>
          <cell r="P30">
            <v>61437</v>
          </cell>
          <cell r="T30">
            <v>27</v>
          </cell>
          <cell r="X30">
            <v>58648</v>
          </cell>
          <cell r="Y30">
            <v>58801</v>
          </cell>
          <cell r="Z30">
            <v>59022</v>
          </cell>
          <cell r="AA30">
            <v>59227</v>
          </cell>
          <cell r="AB30">
            <v>59196</v>
          </cell>
          <cell r="AC30">
            <v>59074</v>
          </cell>
          <cell r="AD30">
            <v>59288</v>
          </cell>
          <cell r="AE30">
            <v>59411</v>
          </cell>
          <cell r="AF30">
            <v>59481</v>
          </cell>
          <cell r="AG30">
            <v>59436</v>
          </cell>
          <cell r="AH30">
            <v>59482</v>
          </cell>
          <cell r="AI30">
            <v>59781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1338898.3874642146</v>
          </cell>
          <cell r="E33">
            <v>214312.00701139352</v>
          </cell>
          <cell r="F33">
            <v>151176.55078391274</v>
          </cell>
          <cell r="G33">
            <v>138100.98354270135</v>
          </cell>
          <cell r="H33">
            <v>134431.59022300126</v>
          </cell>
          <cell r="I33">
            <v>96853.150258058231</v>
          </cell>
          <cell r="J33">
            <v>84975.75226409582</v>
          </cell>
          <cell r="K33">
            <v>68469.471224072448</v>
          </cell>
          <cell r="L33">
            <v>65132.534813516409</v>
          </cell>
          <cell r="M33">
            <v>71239.458564611938</v>
          </cell>
          <cell r="N33">
            <v>65561.23</v>
          </cell>
          <cell r="O33">
            <v>97805.65877885095</v>
          </cell>
          <cell r="P33">
            <v>150840</v>
          </cell>
          <cell r="T33">
            <v>30</v>
          </cell>
          <cell r="U33" t="str">
            <v>Residential</v>
          </cell>
          <cell r="X33">
            <v>167122.30986464114</v>
          </cell>
          <cell r="Y33">
            <v>146105.94994644076</v>
          </cell>
          <cell r="Z33">
            <v>140532.47638523713</v>
          </cell>
          <cell r="AA33">
            <v>127461.68078683416</v>
          </cell>
          <cell r="AB33">
            <v>88046.45048203331</v>
          </cell>
          <cell r="AC33">
            <v>76976.336546888691</v>
          </cell>
          <cell r="AD33">
            <v>67425.747395072554</v>
          </cell>
          <cell r="AE33">
            <v>60401.110137306452</v>
          </cell>
          <cell r="AF33">
            <v>109034.66744571039</v>
          </cell>
          <cell r="AG33">
            <v>74548.836303437536</v>
          </cell>
          <cell r="AH33">
            <v>99787.321063394687</v>
          </cell>
          <cell r="AI33">
            <v>140097.28308501316</v>
          </cell>
        </row>
        <row r="34">
          <cell r="A34">
            <v>31</v>
          </cell>
          <cell r="B34" t="str">
            <v>Commercial Small</v>
          </cell>
          <cell r="D34">
            <v>762117.01358554885</v>
          </cell>
          <cell r="E34">
            <v>87081.11792774369</v>
          </cell>
          <cell r="F34">
            <v>84722.270912454958</v>
          </cell>
          <cell r="G34">
            <v>70946.343363521271</v>
          </cell>
          <cell r="H34">
            <v>71746.616028824617</v>
          </cell>
          <cell r="I34">
            <v>59273.152205667546</v>
          </cell>
          <cell r="J34">
            <v>57255.526341415913</v>
          </cell>
          <cell r="K34">
            <v>49309.767260687506</v>
          </cell>
          <cell r="L34">
            <v>49490.797546012269</v>
          </cell>
          <cell r="M34">
            <v>50488.363034375303</v>
          </cell>
          <cell r="N34">
            <v>46247.79</v>
          </cell>
          <cell r="O34">
            <v>59132.268964845651</v>
          </cell>
          <cell r="P34">
            <v>76423</v>
          </cell>
          <cell r="T34">
            <v>31</v>
          </cell>
          <cell r="U34" t="str">
            <v>Commercial Small</v>
          </cell>
          <cell r="X34">
            <v>88950.238582140417</v>
          </cell>
          <cell r="Y34">
            <v>84935.241990456707</v>
          </cell>
          <cell r="Z34">
            <v>82035.056967572309</v>
          </cell>
          <cell r="AA34">
            <v>75505.01509397215</v>
          </cell>
          <cell r="AB34">
            <v>60755.088129321259</v>
          </cell>
          <cell r="AC34">
            <v>59528.970688479887</v>
          </cell>
          <cell r="AD34">
            <v>54781.283474535005</v>
          </cell>
          <cell r="AE34">
            <v>49876.911091635018</v>
          </cell>
          <cell r="AF34">
            <v>55839.516992891222</v>
          </cell>
          <cell r="AG34">
            <v>53069.334891420782</v>
          </cell>
          <cell r="AH34">
            <v>61738.046547862497</v>
          </cell>
          <cell r="AI34">
            <v>72909.728308501319</v>
          </cell>
        </row>
        <row r="35">
          <cell r="A35">
            <v>32</v>
          </cell>
          <cell r="B35" t="str">
            <v>Commercial Large</v>
          </cell>
          <cell r="D35">
            <v>886277.31784010143</v>
          </cell>
          <cell r="E35">
            <v>101053.46187554776</v>
          </cell>
          <cell r="F35">
            <v>86268.185801928135</v>
          </cell>
          <cell r="G35">
            <v>83438.212094653805</v>
          </cell>
          <cell r="H35">
            <v>83213.652741260099</v>
          </cell>
          <cell r="I35">
            <v>73062.713019768227</v>
          </cell>
          <cell r="J35">
            <v>69038.660044795019</v>
          </cell>
          <cell r="K35">
            <v>56448.242282598112</v>
          </cell>
          <cell r="L35">
            <v>58055.312104391858</v>
          </cell>
          <cell r="M35">
            <v>57990.359333917615</v>
          </cell>
          <cell r="N35">
            <v>54771.1</v>
          </cell>
          <cell r="O35">
            <v>76478.41854124068</v>
          </cell>
          <cell r="P35">
            <v>86459</v>
          </cell>
          <cell r="T35">
            <v>32</v>
          </cell>
          <cell r="U35" t="str">
            <v>Commercial Large</v>
          </cell>
          <cell r="X35">
            <v>111736.29369948388</v>
          </cell>
          <cell r="Y35">
            <v>102677.08637647287</v>
          </cell>
          <cell r="Z35">
            <v>107003.60307722271</v>
          </cell>
          <cell r="AA35">
            <v>95582.52994449313</v>
          </cell>
          <cell r="AB35">
            <v>75133.995520498589</v>
          </cell>
          <cell r="AC35">
            <v>73197.098062128731</v>
          </cell>
          <cell r="AD35">
            <v>67108.287077612229</v>
          </cell>
          <cell r="AE35">
            <v>62202.746129126499</v>
          </cell>
          <cell r="AF35">
            <v>59962.89804265264</v>
          </cell>
          <cell r="AG35">
            <v>61167.68916155419</v>
          </cell>
          <cell r="AH35">
            <v>79279.189794527221</v>
          </cell>
          <cell r="AI35">
            <v>89449.800370045763</v>
          </cell>
        </row>
        <row r="36">
          <cell r="A36">
            <v>33</v>
          </cell>
          <cell r="B36" t="str">
            <v>Outdoor Lights</v>
          </cell>
          <cell r="D36">
            <v>16121.989982471516</v>
          </cell>
          <cell r="E36">
            <v>1442.1073132729575</v>
          </cell>
          <cell r="F36">
            <v>1388.4506767942351</v>
          </cell>
          <cell r="G36">
            <v>1388.4506767942351</v>
          </cell>
          <cell r="H36">
            <v>1387.3794916739703</v>
          </cell>
          <cell r="I36">
            <v>1385.1397409679619</v>
          </cell>
          <cell r="J36">
            <v>1385.1397409679619</v>
          </cell>
          <cell r="K36">
            <v>1385.1397409679619</v>
          </cell>
          <cell r="L36">
            <v>1385.1397409679619</v>
          </cell>
          <cell r="M36">
            <v>1295.7444736585842</v>
          </cell>
          <cell r="N36">
            <v>1295.77</v>
          </cell>
          <cell r="O36">
            <v>1226.5283864056871</v>
          </cell>
          <cell r="P36">
            <v>1157</v>
          </cell>
          <cell r="T36">
            <v>33</v>
          </cell>
          <cell r="U36" t="str">
            <v>Outdoor Lights</v>
          </cell>
          <cell r="X36">
            <v>1646.0220079851981</v>
          </cell>
          <cell r="Y36">
            <v>1646.0220079851981</v>
          </cell>
          <cell r="Z36">
            <v>1580.5823351835622</v>
          </cell>
          <cell r="AA36">
            <v>1589.9308598695102</v>
          </cell>
          <cell r="AB36">
            <v>1524.4911870678741</v>
          </cell>
          <cell r="AC36">
            <v>1498.1984613886455</v>
          </cell>
          <cell r="AD36">
            <v>1498.1984613886455</v>
          </cell>
          <cell r="AE36">
            <v>1498.1984613886455</v>
          </cell>
          <cell r="AF36">
            <v>1498.1984613886455</v>
          </cell>
          <cell r="AG36">
            <v>1460.8043626448534</v>
          </cell>
          <cell r="AH36">
            <v>1460.8043626448534</v>
          </cell>
          <cell r="AI36">
            <v>1460.8043626448534</v>
          </cell>
        </row>
        <row r="37">
          <cell r="A37">
            <v>34</v>
          </cell>
          <cell r="B37" t="str">
            <v>Interdepartmental/Special Contracts</v>
          </cell>
          <cell r="D37">
            <v>2064669.5386941277</v>
          </cell>
          <cell r="E37">
            <v>159342.1949556919</v>
          </cell>
          <cell r="F37">
            <v>133477.4564222417</v>
          </cell>
          <cell r="G37">
            <v>210268.38056285909</v>
          </cell>
          <cell r="H37">
            <v>165391.85899308597</v>
          </cell>
          <cell r="I37">
            <v>164903.69071964163</v>
          </cell>
          <cell r="J37">
            <v>174935.7288927841</v>
          </cell>
          <cell r="K37">
            <v>145961.2425747395</v>
          </cell>
          <cell r="L37">
            <v>156281.13740383679</v>
          </cell>
          <cell r="M37">
            <v>163115.00632973024</v>
          </cell>
          <cell r="N37">
            <v>176991.65</v>
          </cell>
          <cell r="O37">
            <v>203650.19183951701</v>
          </cell>
          <cell r="P37">
            <v>210351</v>
          </cell>
          <cell r="T37">
            <v>34</v>
          </cell>
          <cell r="U37" t="str">
            <v>Interdepartmental/Special Contracts</v>
          </cell>
          <cell r="X37">
            <v>156877.31619437141</v>
          </cell>
          <cell r="Y37">
            <v>143103.33138572404</v>
          </cell>
          <cell r="Z37">
            <v>168188.31823936119</v>
          </cell>
          <cell r="AA37">
            <v>158180.79170318431</v>
          </cell>
          <cell r="AB37">
            <v>162190.17820625182</v>
          </cell>
          <cell r="AC37">
            <v>149222.46080436264</v>
          </cell>
          <cell r="AD37">
            <v>112924.40743986756</v>
          </cell>
          <cell r="AE37">
            <v>120368.30265848669</v>
          </cell>
          <cell r="AF37">
            <v>138424.64212678935</v>
          </cell>
          <cell r="AG37">
            <v>160203.00516116468</v>
          </cell>
          <cell r="AH37">
            <v>157724.96835134871</v>
          </cell>
          <cell r="AI37">
            <v>168057.2431590223</v>
          </cell>
        </row>
        <row r="38">
          <cell r="A38">
            <v>35</v>
          </cell>
          <cell r="B38" t="str">
            <v>Unbilled</v>
          </cell>
          <cell r="D38">
            <v>210377</v>
          </cell>
          <cell r="E38">
            <v>35169</v>
          </cell>
          <cell r="F38">
            <v>-32050</v>
          </cell>
          <cell r="G38">
            <v>0</v>
          </cell>
          <cell r="H38">
            <v>0</v>
          </cell>
          <cell r="I38">
            <v>0</v>
          </cell>
          <cell r="J38">
            <v>-53888</v>
          </cell>
          <cell r="K38">
            <v>-17611</v>
          </cell>
          <cell r="L38">
            <v>-2096</v>
          </cell>
          <cell r="M38">
            <v>-22630</v>
          </cell>
          <cell r="N38">
            <v>35595</v>
          </cell>
          <cell r="O38">
            <v>0</v>
          </cell>
          <cell r="P38">
            <v>267888</v>
          </cell>
          <cell r="T38">
            <v>35</v>
          </cell>
          <cell r="U38" t="str">
            <v>Unbilled</v>
          </cell>
          <cell r="X38">
            <v>6370</v>
          </cell>
          <cell r="Y38">
            <v>0</v>
          </cell>
          <cell r="Z38">
            <v>0</v>
          </cell>
          <cell r="AA38">
            <v>-17949</v>
          </cell>
          <cell r="AB38">
            <v>0</v>
          </cell>
          <cell r="AC38">
            <v>-5036.4202940890054</v>
          </cell>
          <cell r="AD38">
            <v>-21569</v>
          </cell>
          <cell r="AE38">
            <v>0</v>
          </cell>
          <cell r="AF38">
            <v>-24505</v>
          </cell>
          <cell r="AG38">
            <v>23574</v>
          </cell>
          <cell r="AH38">
            <v>35817</v>
          </cell>
          <cell r="AI38">
            <v>32339</v>
          </cell>
        </row>
        <row r="39">
          <cell r="A39">
            <v>36</v>
          </cell>
          <cell r="B39" t="str">
            <v>Commercial Small Transp</v>
          </cell>
          <cell r="D39">
            <v>608252.37865809724</v>
          </cell>
          <cell r="E39">
            <v>59402.083941961238</v>
          </cell>
          <cell r="F39">
            <v>54789.755575031646</v>
          </cell>
          <cell r="G39">
            <v>51459.927938455548</v>
          </cell>
          <cell r="H39">
            <v>53379.881195832117</v>
          </cell>
          <cell r="I39">
            <v>47579.316389132342</v>
          </cell>
          <cell r="J39">
            <v>49190.184049079755</v>
          </cell>
          <cell r="K39">
            <v>43807.381439283279</v>
          </cell>
          <cell r="L39">
            <v>44689.745836985101</v>
          </cell>
          <cell r="M39">
            <v>46887.330801441232</v>
          </cell>
          <cell r="N39">
            <v>43946.76</v>
          </cell>
          <cell r="O39">
            <v>53538.011490894933</v>
          </cell>
          <cell r="P39">
            <v>59582</v>
          </cell>
          <cell r="T39">
            <v>36</v>
          </cell>
          <cell r="U39" t="str">
            <v>Commercial Small Transp</v>
          </cell>
          <cell r="X39">
            <v>39610.478138085498</v>
          </cell>
          <cell r="Y39">
            <v>38615.834063686823</v>
          </cell>
          <cell r="Z39">
            <v>40376.278118609407</v>
          </cell>
          <cell r="AA39">
            <v>42682.929204401597</v>
          </cell>
          <cell r="AB39">
            <v>36585.451358457496</v>
          </cell>
          <cell r="AC39">
            <v>38135.35884701529</v>
          </cell>
          <cell r="AD39">
            <v>37049.761417859576</v>
          </cell>
          <cell r="AE39">
            <v>36316.291751874574</v>
          </cell>
          <cell r="AF39">
            <v>36551.855097867367</v>
          </cell>
          <cell r="AG39">
            <v>38363.91079949362</v>
          </cell>
          <cell r="AH39">
            <v>45156.100886162232</v>
          </cell>
          <cell r="AI39">
            <v>51275.294575908076</v>
          </cell>
        </row>
        <row r="40">
          <cell r="A40">
            <v>37</v>
          </cell>
          <cell r="B40" t="str">
            <v>Commercial Large Transp</v>
          </cell>
          <cell r="D40">
            <v>3140203.782129711</v>
          </cell>
          <cell r="E40">
            <v>299415.81458759372</v>
          </cell>
          <cell r="F40">
            <v>276740.87058136135</v>
          </cell>
          <cell r="G40">
            <v>272869.51017625863</v>
          </cell>
          <cell r="H40">
            <v>277765.11831726553</v>
          </cell>
          <cell r="I40">
            <v>257994.25455253676</v>
          </cell>
          <cell r="J40">
            <v>253157.17207128249</v>
          </cell>
          <cell r="K40">
            <v>237891.42078099132</v>
          </cell>
          <cell r="L40">
            <v>242211.89989288148</v>
          </cell>
          <cell r="M40">
            <v>238763.46284935242</v>
          </cell>
          <cell r="N40">
            <v>235723.01</v>
          </cell>
          <cell r="O40">
            <v>261890.24832018701</v>
          </cell>
          <cell r="P40">
            <v>285781</v>
          </cell>
          <cell r="T40">
            <v>37</v>
          </cell>
          <cell r="U40" t="str">
            <v>Commercial Large Transp</v>
          </cell>
          <cell r="X40">
            <v>291922.09562761709</v>
          </cell>
          <cell r="Y40">
            <v>268504.91771350667</v>
          </cell>
          <cell r="Z40">
            <v>286086.76599474146</v>
          </cell>
          <cell r="AA40">
            <v>250198.36400817995</v>
          </cell>
          <cell r="AB40">
            <v>243418.93076248904</v>
          </cell>
          <cell r="AC40">
            <v>240632.68088421461</v>
          </cell>
          <cell r="AD40">
            <v>237388.35329632874</v>
          </cell>
          <cell r="AE40">
            <v>229373.64884604147</v>
          </cell>
          <cell r="AF40">
            <v>213083.64981984615</v>
          </cell>
          <cell r="AG40">
            <v>245338.39711753823</v>
          </cell>
          <cell r="AH40">
            <v>244659.1683708248</v>
          </cell>
          <cell r="AI40">
            <v>275162.7227578148</v>
          </cell>
        </row>
        <row r="41">
          <cell r="A41">
            <v>38</v>
          </cell>
          <cell r="B41" t="str">
            <v>Interruptible Transp</v>
          </cell>
          <cell r="D41">
            <v>1004244.1990914402</v>
          </cell>
          <cell r="E41">
            <v>89552.049858798331</v>
          </cell>
          <cell r="F41">
            <v>77045.574057844002</v>
          </cell>
          <cell r="G41">
            <v>89081.604830071083</v>
          </cell>
          <cell r="H41">
            <v>81035.933391761617</v>
          </cell>
          <cell r="I41">
            <v>83842.925309182974</v>
          </cell>
          <cell r="J41">
            <v>89453.890349595866</v>
          </cell>
          <cell r="K41">
            <v>85471.808355243935</v>
          </cell>
          <cell r="L41">
            <v>81501.801538611355</v>
          </cell>
          <cell r="M41">
            <v>79464.602200798516</v>
          </cell>
          <cell r="N41">
            <v>86792.63</v>
          </cell>
          <cell r="O41">
            <v>82474.379199532559</v>
          </cell>
          <cell r="P41">
            <v>78527</v>
          </cell>
          <cell r="T41">
            <v>38</v>
          </cell>
          <cell r="U41" t="str">
            <v>Interruptible Transp</v>
          </cell>
          <cell r="X41">
            <v>69243.645924627519</v>
          </cell>
          <cell r="Y41">
            <v>58727.918979452719</v>
          </cell>
          <cell r="Z41">
            <v>65021.715843801736</v>
          </cell>
          <cell r="AA41">
            <v>71748.174116272276</v>
          </cell>
          <cell r="AB41">
            <v>74609.991235758105</v>
          </cell>
          <cell r="AC41">
            <v>72171.876521569779</v>
          </cell>
          <cell r="AD41">
            <v>76800.856948096218</v>
          </cell>
          <cell r="AE41">
            <v>79127.373648846042</v>
          </cell>
          <cell r="AF41">
            <v>62629.272567922875</v>
          </cell>
          <cell r="AG41">
            <v>76687.116564417171</v>
          </cell>
          <cell r="AH41">
            <v>76549.907488557801</v>
          </cell>
          <cell r="AI41">
            <v>79389.034959587108</v>
          </cell>
        </row>
        <row r="42">
          <cell r="A42">
            <v>39</v>
          </cell>
          <cell r="D42">
            <v>10031161.607445713</v>
          </cell>
          <cell r="E42">
            <v>1046769.8374720032</v>
          </cell>
          <cell r="F42">
            <v>833559.11481156875</v>
          </cell>
          <cell r="G42">
            <v>917553.41318531509</v>
          </cell>
          <cell r="H42">
            <v>868352.03038270515</v>
          </cell>
          <cell r="I42">
            <v>784894.34219495568</v>
          </cell>
          <cell r="J42">
            <v>725504.05375401699</v>
          </cell>
          <cell r="K42">
            <v>671133.47365858406</v>
          </cell>
          <cell r="L42">
            <v>696652.3688772032</v>
          </cell>
          <cell r="M42">
            <v>686614.32758788578</v>
          </cell>
          <cell r="N42">
            <v>746924.94000000006</v>
          </cell>
          <cell r="O42">
            <v>836195.70552147448</v>
          </cell>
          <cell r="P42">
            <v>1217008</v>
          </cell>
          <cell r="T42">
            <v>39</v>
          </cell>
          <cell r="X42">
            <v>933478.40003895212</v>
          </cell>
          <cell r="Y42">
            <v>844316.30246372579</v>
          </cell>
          <cell r="Z42">
            <v>890824.79696172953</v>
          </cell>
          <cell r="AA42">
            <v>805000.41571720713</v>
          </cell>
          <cell r="AB42">
            <v>742264.5768818775</v>
          </cell>
          <cell r="AC42">
            <v>706326.56052195933</v>
          </cell>
          <cell r="AD42">
            <v>633407.89551076049</v>
          </cell>
          <cell r="AE42">
            <v>639164.58272470534</v>
          </cell>
          <cell r="AF42">
            <v>652519.70055506856</v>
          </cell>
          <cell r="AG42">
            <v>734413.09436167101</v>
          </cell>
          <cell r="AH42">
            <v>802172.50686532282</v>
          </cell>
          <cell r="AI42">
            <v>910140.91157853743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671</v>
          </cell>
          <cell r="F45">
            <v>671</v>
          </cell>
          <cell r="G45">
            <v>673</v>
          </cell>
          <cell r="H45">
            <v>670</v>
          </cell>
          <cell r="I45">
            <v>671</v>
          </cell>
          <cell r="J45">
            <v>667</v>
          </cell>
          <cell r="K45">
            <v>669</v>
          </cell>
          <cell r="L45">
            <v>673</v>
          </cell>
          <cell r="M45">
            <v>671</v>
          </cell>
          <cell r="N45">
            <v>668</v>
          </cell>
          <cell r="O45">
            <v>672</v>
          </cell>
          <cell r="P45">
            <v>668</v>
          </cell>
          <cell r="T45">
            <v>42</v>
          </cell>
          <cell r="U45" t="str">
            <v>TS1 - RS</v>
          </cell>
          <cell r="X45">
            <v>673</v>
          </cell>
          <cell r="Y45">
            <v>671</v>
          </cell>
          <cell r="Z45">
            <v>674</v>
          </cell>
          <cell r="AA45">
            <v>679</v>
          </cell>
          <cell r="AB45">
            <v>672</v>
          </cell>
          <cell r="AC45">
            <v>679</v>
          </cell>
          <cell r="AD45">
            <v>675</v>
          </cell>
          <cell r="AE45">
            <v>673</v>
          </cell>
          <cell r="AF45">
            <v>670</v>
          </cell>
          <cell r="AG45">
            <v>671</v>
          </cell>
          <cell r="AH45">
            <v>670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43</v>
          </cell>
          <cell r="U46" t="str">
            <v>TS1 - Com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23</v>
          </cell>
          <cell r="F47">
            <v>23</v>
          </cell>
          <cell r="G47">
            <v>23</v>
          </cell>
          <cell r="H47">
            <v>24</v>
          </cell>
          <cell r="I47">
            <v>23</v>
          </cell>
          <cell r="J47">
            <v>23</v>
          </cell>
          <cell r="K47">
            <v>23</v>
          </cell>
          <cell r="L47">
            <v>23</v>
          </cell>
          <cell r="M47">
            <v>23</v>
          </cell>
          <cell r="N47">
            <v>23</v>
          </cell>
          <cell r="O47">
            <v>23</v>
          </cell>
          <cell r="P47">
            <v>23</v>
          </cell>
          <cell r="T47">
            <v>44</v>
          </cell>
          <cell r="U47" t="str">
            <v>TS2</v>
          </cell>
          <cell r="X47">
            <v>24</v>
          </cell>
          <cell r="Y47">
            <v>24</v>
          </cell>
          <cell r="Z47">
            <v>24</v>
          </cell>
          <cell r="AA47">
            <v>24</v>
          </cell>
          <cell r="AB47">
            <v>23</v>
          </cell>
          <cell r="AC47">
            <v>23</v>
          </cell>
          <cell r="AD47">
            <v>24</v>
          </cell>
          <cell r="AE47">
            <v>24</v>
          </cell>
          <cell r="AF47">
            <v>23</v>
          </cell>
          <cell r="AG47">
            <v>23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1</v>
          </cell>
          <cell r="AD49">
            <v>1</v>
          </cell>
          <cell r="AE49">
            <v>1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697</v>
          </cell>
          <cell r="F50">
            <v>697</v>
          </cell>
          <cell r="G50">
            <v>699</v>
          </cell>
          <cell r="H50">
            <v>697</v>
          </cell>
          <cell r="I50">
            <v>697</v>
          </cell>
          <cell r="J50">
            <v>693</v>
          </cell>
          <cell r="K50">
            <v>695</v>
          </cell>
          <cell r="L50">
            <v>699</v>
          </cell>
          <cell r="M50">
            <v>697</v>
          </cell>
          <cell r="N50">
            <v>694</v>
          </cell>
          <cell r="O50">
            <v>698</v>
          </cell>
          <cell r="P50">
            <v>694</v>
          </cell>
          <cell r="T50">
            <v>47</v>
          </cell>
          <cell r="X50">
            <v>700</v>
          </cell>
          <cell r="Y50">
            <v>698</v>
          </cell>
          <cell r="Z50">
            <v>701</v>
          </cell>
          <cell r="AA50">
            <v>706</v>
          </cell>
          <cell r="AB50">
            <v>698</v>
          </cell>
          <cell r="AC50">
            <v>704</v>
          </cell>
          <cell r="AD50">
            <v>701</v>
          </cell>
          <cell r="AE50">
            <v>699</v>
          </cell>
          <cell r="AF50">
            <v>696</v>
          </cell>
          <cell r="AG50">
            <v>697</v>
          </cell>
          <cell r="AH50">
            <v>696</v>
          </cell>
          <cell r="AI50">
            <v>698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11319.602687700848</v>
          </cell>
          <cell r="E53">
            <v>1222.3196026877008</v>
          </cell>
          <cell r="F53">
            <v>957.24997565488366</v>
          </cell>
          <cell r="G53">
            <v>982.76365761028342</v>
          </cell>
          <cell r="H53">
            <v>944.20099328074787</v>
          </cell>
          <cell r="I53">
            <v>979.55010224948876</v>
          </cell>
          <cell r="J53">
            <v>868.34161067289904</v>
          </cell>
          <cell r="K53">
            <v>851.59217061057552</v>
          </cell>
          <cell r="L53">
            <v>816.53520303827054</v>
          </cell>
          <cell r="M53">
            <v>817.02210536566361</v>
          </cell>
          <cell r="N53">
            <v>843.02268964845655</v>
          </cell>
          <cell r="O53">
            <v>935.04722952575707</v>
          </cell>
          <cell r="P53">
            <v>1101.9573473561204</v>
          </cell>
          <cell r="T53">
            <v>50</v>
          </cell>
          <cell r="U53" t="str">
            <v>TS1 - RS</v>
          </cell>
          <cell r="X53">
            <v>1117.8303632291363</v>
          </cell>
          <cell r="Y53">
            <v>372.2855195247833</v>
          </cell>
          <cell r="Z53">
            <v>999.31833674164966</v>
          </cell>
          <cell r="AA53">
            <v>923.16681273736492</v>
          </cell>
          <cell r="AB53">
            <v>834.5505891518161</v>
          </cell>
          <cell r="AC53">
            <v>948.87525562372184</v>
          </cell>
          <cell r="AD53">
            <v>808.93952673093781</v>
          </cell>
          <cell r="AE53">
            <v>842.53578732106337</v>
          </cell>
          <cell r="AF53">
            <v>833.38202356607269</v>
          </cell>
          <cell r="AG53">
            <v>892.68672704255528</v>
          </cell>
          <cell r="AH53">
            <v>960.65829194663547</v>
          </cell>
          <cell r="AI53">
            <v>1039.8286103807577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51</v>
          </cell>
          <cell r="U54" t="str">
            <v>TS1 - Com</v>
          </cell>
          <cell r="X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8317.7524588567521</v>
          </cell>
          <cell r="E55">
            <v>781.86775732787999</v>
          </cell>
          <cell r="F55">
            <v>670.65926575129026</v>
          </cell>
          <cell r="G55">
            <v>693.44629467328855</v>
          </cell>
          <cell r="H55">
            <v>677.08637647287958</v>
          </cell>
          <cell r="I55">
            <v>734.15132924335376</v>
          </cell>
          <cell r="J55">
            <v>651.96221637939425</v>
          </cell>
          <cell r="K55">
            <v>687.99298860648548</v>
          </cell>
          <cell r="L55">
            <v>642.71107215892494</v>
          </cell>
          <cell r="M55">
            <v>638.62109260882266</v>
          </cell>
          <cell r="N55">
            <v>695.19914305190377</v>
          </cell>
          <cell r="O55">
            <v>699.09436167104877</v>
          </cell>
          <cell r="P55">
            <v>744.96056091148114</v>
          </cell>
          <cell r="T55">
            <v>52</v>
          </cell>
          <cell r="U55" t="str">
            <v>TS2</v>
          </cell>
          <cell r="X55">
            <v>761.80738143928329</v>
          </cell>
          <cell r="Y55">
            <v>39.24432758788587</v>
          </cell>
          <cell r="Z55">
            <v>705.42409192715945</v>
          </cell>
          <cell r="AA55">
            <v>675.2361476287856</v>
          </cell>
          <cell r="AB55">
            <v>647.87223682929209</v>
          </cell>
          <cell r="AC55">
            <v>687.60346674457105</v>
          </cell>
          <cell r="AD55">
            <v>576.10283377154542</v>
          </cell>
          <cell r="AE55">
            <v>673.58067971564901</v>
          </cell>
          <cell r="AF55">
            <v>700.74982958418536</v>
          </cell>
          <cell r="AG55">
            <v>710.68263706300513</v>
          </cell>
          <cell r="AH55">
            <v>675.91781088713606</v>
          </cell>
          <cell r="AI55">
            <v>689.25893465770764</v>
          </cell>
        </row>
        <row r="56">
          <cell r="A56">
            <v>53</v>
          </cell>
          <cell r="B56" t="str">
            <v>TS3</v>
          </cell>
          <cell r="D56">
            <v>373.2593241795696</v>
          </cell>
          <cell r="E56">
            <v>33.304119193689743</v>
          </cell>
          <cell r="F56">
            <v>26.682247541143248</v>
          </cell>
          <cell r="G56">
            <v>28.727237316194373</v>
          </cell>
          <cell r="H56">
            <v>34.277923848475993</v>
          </cell>
          <cell r="I56">
            <v>28.727237316194373</v>
          </cell>
          <cell r="J56">
            <v>36.907196416398868</v>
          </cell>
          <cell r="K56">
            <v>25.80582335183562</v>
          </cell>
          <cell r="L56">
            <v>38.854805725971367</v>
          </cell>
          <cell r="M56">
            <v>31.356509884117244</v>
          </cell>
          <cell r="N56">
            <v>28.92199824715162</v>
          </cell>
          <cell r="O56">
            <v>18.502288440938749</v>
          </cell>
          <cell r="P56">
            <v>41.191936897458369</v>
          </cell>
          <cell r="T56">
            <v>53</v>
          </cell>
          <cell r="U56" t="str">
            <v>TS3</v>
          </cell>
          <cell r="X56">
            <v>29.214139643587497</v>
          </cell>
          <cell r="Y56">
            <v>1.3633265167007498</v>
          </cell>
          <cell r="Z56">
            <v>17.723244717109747</v>
          </cell>
          <cell r="AA56">
            <v>11.685655857434998</v>
          </cell>
          <cell r="AB56">
            <v>23.176550783912745</v>
          </cell>
          <cell r="AC56">
            <v>17.041581458759374</v>
          </cell>
          <cell r="AD56">
            <v>15.191352614665497</v>
          </cell>
          <cell r="AE56">
            <v>22.105365663647873</v>
          </cell>
          <cell r="AF56">
            <v>19.670854026682246</v>
          </cell>
          <cell r="AG56">
            <v>15.386113545622749</v>
          </cell>
          <cell r="AH56">
            <v>6.3297302561106239</v>
          </cell>
          <cell r="AI56">
            <v>39.341708053364492</v>
          </cell>
        </row>
        <row r="57">
          <cell r="A57">
            <v>54</v>
          </cell>
          <cell r="B57" t="str">
            <v>TS4</v>
          </cell>
          <cell r="D57">
            <v>19913.136624793064</v>
          </cell>
          <cell r="E57">
            <v>0</v>
          </cell>
          <cell r="F57">
            <v>0</v>
          </cell>
          <cell r="G57">
            <v>0</v>
          </cell>
          <cell r="H57">
            <v>9165.1572694517472</v>
          </cell>
          <cell r="I57">
            <v>10747.979355341318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1420.0019476093096</v>
          </cell>
          <cell r="AC57">
            <v>0</v>
          </cell>
          <cell r="AD57">
            <v>24665.595481546403</v>
          </cell>
          <cell r="AE57">
            <v>15413.380075956762</v>
          </cell>
          <cell r="AF57">
            <v>5939.4293504722955</v>
          </cell>
          <cell r="AG57">
            <v>8114.5194274028627</v>
          </cell>
          <cell r="AH57">
            <v>0</v>
          </cell>
          <cell r="AI57">
            <v>0.29214139643587494</v>
          </cell>
        </row>
        <row r="58">
          <cell r="A58">
            <v>55</v>
          </cell>
          <cell r="D58">
            <v>39923.751095530235</v>
          </cell>
          <cell r="E58">
            <v>2037.4914792092707</v>
          </cell>
          <cell r="F58">
            <v>1654.591488947317</v>
          </cell>
          <cell r="G58">
            <v>1704.9371895997663</v>
          </cell>
          <cell r="H58">
            <v>10820.722563053851</v>
          </cell>
          <cell r="I58">
            <v>12490.408024150354</v>
          </cell>
          <cell r="J58">
            <v>1557.2110234686922</v>
          </cell>
          <cell r="K58">
            <v>1565.3909825688968</v>
          </cell>
          <cell r="L58">
            <v>1498.1010809231668</v>
          </cell>
          <cell r="M58">
            <v>1486.9997078586034</v>
          </cell>
          <cell r="N58">
            <v>1567.1438309475118</v>
          </cell>
          <cell r="O58">
            <v>1652.6438796377447</v>
          </cell>
          <cell r="P58">
            <v>1888.1098451650598</v>
          </cell>
          <cell r="T58">
            <v>55</v>
          </cell>
          <cell r="X58">
            <v>1908.8518843120071</v>
          </cell>
          <cell r="Y58">
            <v>412.89317362936993</v>
          </cell>
          <cell r="Z58">
            <v>1722.465673385919</v>
          </cell>
          <cell r="AA58">
            <v>1610.0886162235856</v>
          </cell>
          <cell r="AB58">
            <v>2925.6013243743305</v>
          </cell>
          <cell r="AC58">
            <v>1653.5203038270522</v>
          </cell>
          <cell r="AD58">
            <v>26065.829194663551</v>
          </cell>
          <cell r="AE58">
            <v>16951.601908657121</v>
          </cell>
          <cell r="AF58">
            <v>7493.2320576492357</v>
          </cell>
          <cell r="AG58">
            <v>9733.274905054046</v>
          </cell>
          <cell r="AH58">
            <v>1642.9058330898822</v>
          </cell>
          <cell r="AI58">
            <v>1768.7213944882658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582</v>
          </cell>
          <cell r="F62">
            <v>581</v>
          </cell>
          <cell r="G62">
            <v>584</v>
          </cell>
          <cell r="H62">
            <v>577</v>
          </cell>
          <cell r="I62">
            <v>565</v>
          </cell>
          <cell r="J62">
            <v>561</v>
          </cell>
          <cell r="K62">
            <v>561</v>
          </cell>
          <cell r="L62">
            <v>557</v>
          </cell>
          <cell r="M62">
            <v>560</v>
          </cell>
          <cell r="N62">
            <v>558</v>
          </cell>
          <cell r="O62">
            <v>560</v>
          </cell>
          <cell r="P62">
            <v>560</v>
          </cell>
          <cell r="T62">
            <v>59</v>
          </cell>
          <cell r="U62" t="str">
            <v>Residential</v>
          </cell>
          <cell r="X62">
            <v>612</v>
          </cell>
          <cell r="Y62">
            <v>613</v>
          </cell>
          <cell r="Z62">
            <v>616</v>
          </cell>
          <cell r="AA62">
            <v>608</v>
          </cell>
          <cell r="AB62">
            <v>592</v>
          </cell>
          <cell r="AC62">
            <v>583</v>
          </cell>
          <cell r="AD62">
            <v>575</v>
          </cell>
          <cell r="AE62">
            <v>571</v>
          </cell>
          <cell r="AF62">
            <v>571</v>
          </cell>
          <cell r="AG62">
            <v>566</v>
          </cell>
          <cell r="AH62">
            <v>574</v>
          </cell>
          <cell r="AI62">
            <v>576</v>
          </cell>
        </row>
        <row r="63">
          <cell r="A63">
            <v>60</v>
          </cell>
          <cell r="B63" t="str">
            <v>Commercial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60</v>
          </cell>
          <cell r="U63" t="str">
            <v>Commercial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A64">
            <v>61</v>
          </cell>
          <cell r="B64" t="str">
            <v>Commercial Small Transp</v>
          </cell>
          <cell r="E64">
            <v>19</v>
          </cell>
          <cell r="F64">
            <v>18</v>
          </cell>
          <cell r="G64">
            <v>21</v>
          </cell>
          <cell r="H64">
            <v>21</v>
          </cell>
          <cell r="I64">
            <v>21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T64">
            <v>61</v>
          </cell>
          <cell r="U64" t="str">
            <v>Special Contract</v>
          </cell>
          <cell r="X64">
            <v>19</v>
          </cell>
          <cell r="Y64">
            <v>18</v>
          </cell>
          <cell r="Z64">
            <v>18</v>
          </cell>
          <cell r="AA64">
            <v>19</v>
          </cell>
          <cell r="AB64">
            <v>20</v>
          </cell>
          <cell r="AC64">
            <v>19</v>
          </cell>
          <cell r="AD64">
            <v>20</v>
          </cell>
          <cell r="AE64">
            <v>20</v>
          </cell>
          <cell r="AF64">
            <v>20</v>
          </cell>
          <cell r="AG64">
            <v>20</v>
          </cell>
          <cell r="AH64">
            <v>20</v>
          </cell>
          <cell r="AI64">
            <v>19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7</v>
          </cell>
          <cell r="Y65">
            <v>7</v>
          </cell>
          <cell r="Z65">
            <v>7</v>
          </cell>
          <cell r="AA65">
            <v>7</v>
          </cell>
          <cell r="AB65">
            <v>7</v>
          </cell>
          <cell r="AC65">
            <v>7</v>
          </cell>
          <cell r="AD65">
            <v>7</v>
          </cell>
          <cell r="AE65">
            <v>7</v>
          </cell>
          <cell r="AF65">
            <v>7</v>
          </cell>
          <cell r="AG65">
            <v>7</v>
          </cell>
          <cell r="AH65">
            <v>7</v>
          </cell>
          <cell r="AI65">
            <v>7</v>
          </cell>
        </row>
        <row r="66">
          <cell r="A66">
            <v>63</v>
          </cell>
          <cell r="E66">
            <v>608</v>
          </cell>
          <cell r="F66">
            <v>606</v>
          </cell>
          <cell r="G66">
            <v>612</v>
          </cell>
          <cell r="H66">
            <v>605</v>
          </cell>
          <cell r="I66">
            <v>593</v>
          </cell>
          <cell r="J66">
            <v>588</v>
          </cell>
          <cell r="K66">
            <v>588</v>
          </cell>
          <cell r="L66">
            <v>584</v>
          </cell>
          <cell r="M66">
            <v>587</v>
          </cell>
          <cell r="N66">
            <v>585</v>
          </cell>
          <cell r="O66">
            <v>587</v>
          </cell>
          <cell r="P66">
            <v>587</v>
          </cell>
          <cell r="T66">
            <v>63</v>
          </cell>
          <cell r="X66">
            <v>638</v>
          </cell>
          <cell r="Y66">
            <v>638</v>
          </cell>
          <cell r="Z66">
            <v>641</v>
          </cell>
          <cell r="AA66">
            <v>634</v>
          </cell>
          <cell r="AB66">
            <v>619</v>
          </cell>
          <cell r="AC66">
            <v>609</v>
          </cell>
          <cell r="AD66">
            <v>602</v>
          </cell>
          <cell r="AE66">
            <v>598</v>
          </cell>
          <cell r="AF66">
            <v>598</v>
          </cell>
          <cell r="AG66">
            <v>593</v>
          </cell>
          <cell r="AH66">
            <v>601</v>
          </cell>
          <cell r="AI66">
            <v>602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7056.1885285811659</v>
          </cell>
          <cell r="E69">
            <v>1224.5593533937092</v>
          </cell>
          <cell r="F69">
            <v>812.93212581556134</v>
          </cell>
          <cell r="G69">
            <v>570.55214723926383</v>
          </cell>
          <cell r="H69">
            <v>624.40354464894347</v>
          </cell>
          <cell r="I69">
            <v>462.07030869607559</v>
          </cell>
          <cell r="J69">
            <v>519.13526146654976</v>
          </cell>
          <cell r="K69">
            <v>404.6158340636868</v>
          </cell>
          <cell r="L69">
            <v>432.27188625961634</v>
          </cell>
          <cell r="M69">
            <v>437.91995325737656</v>
          </cell>
          <cell r="N69">
            <v>382.60784886551755</v>
          </cell>
          <cell r="O69">
            <v>473.46382315707467</v>
          </cell>
          <cell r="P69">
            <v>711.65644171779138</v>
          </cell>
          <cell r="T69">
            <v>66</v>
          </cell>
          <cell r="U69" t="str">
            <v>Residential</v>
          </cell>
          <cell r="X69">
            <v>774.9537442788976</v>
          </cell>
          <cell r="Y69">
            <v>822.18327003603076</v>
          </cell>
          <cell r="Z69">
            <v>630.34375304313949</v>
          </cell>
          <cell r="AA69">
            <v>587.39896776706587</v>
          </cell>
          <cell r="AB69">
            <v>439.38066023955594</v>
          </cell>
          <cell r="AC69">
            <v>470.25026779628007</v>
          </cell>
          <cell r="AD69">
            <v>402.37608335767845</v>
          </cell>
          <cell r="AE69">
            <v>404.32369266725095</v>
          </cell>
          <cell r="AF69">
            <v>492.35563345992796</v>
          </cell>
          <cell r="AG69">
            <v>494.49800370045767</v>
          </cell>
          <cell r="AH69">
            <v>548.54416204109452</v>
          </cell>
          <cell r="AI69">
            <v>858.50618365955791</v>
          </cell>
        </row>
        <row r="70">
          <cell r="A70">
            <v>67</v>
          </cell>
          <cell r="B70" t="str">
            <v>Commercial</v>
          </cell>
          <cell r="D70">
            <v>3759.9571525951901</v>
          </cell>
          <cell r="E70">
            <v>603.95364689843211</v>
          </cell>
          <cell r="F70">
            <v>543.86989969812055</v>
          </cell>
          <cell r="G70">
            <v>402.86298568507158</v>
          </cell>
          <cell r="H70">
            <v>443.95754211705133</v>
          </cell>
          <cell r="I70">
            <v>294.67328853831918</v>
          </cell>
          <cell r="J70">
            <v>220.76151524004285</v>
          </cell>
          <cell r="K70">
            <v>105.36566364787224</v>
          </cell>
          <cell r="L70">
            <v>109.26088226701724</v>
          </cell>
          <cell r="M70">
            <v>130.87934560327199</v>
          </cell>
          <cell r="N70">
            <v>156.87992988606484</v>
          </cell>
          <cell r="O70">
            <v>172.94770669003799</v>
          </cell>
          <cell r="P70">
            <v>574.54474632388747</v>
          </cell>
          <cell r="T70">
            <v>67</v>
          </cell>
          <cell r="U70" t="str">
            <v>Commercial</v>
          </cell>
          <cell r="X70">
            <v>571.0390495666569</v>
          </cell>
          <cell r="Y70">
            <v>612.42574739507256</v>
          </cell>
          <cell r="Z70">
            <v>505.98889862693545</v>
          </cell>
          <cell r="AA70">
            <v>455.64319797448633</v>
          </cell>
          <cell r="AB70">
            <v>318.53150258058236</v>
          </cell>
          <cell r="AC70">
            <v>168.46820527802123</v>
          </cell>
          <cell r="AD70">
            <v>181.41980718667836</v>
          </cell>
          <cell r="AE70">
            <v>127.17888791508423</v>
          </cell>
          <cell r="AF70">
            <v>140.03310935826272</v>
          </cell>
          <cell r="AG70">
            <v>114.81156879929885</v>
          </cell>
          <cell r="AH70">
            <v>299.83445320868634</v>
          </cell>
          <cell r="AI70">
            <v>295.93923458954134</v>
          </cell>
        </row>
        <row r="71">
          <cell r="A71">
            <v>68</v>
          </cell>
          <cell r="B71" t="str">
            <v>Commercial Small Transp</v>
          </cell>
          <cell r="D71">
            <v>2501.4120167494402</v>
          </cell>
          <cell r="E71">
            <v>224.94887525562373</v>
          </cell>
          <cell r="F71">
            <v>227.87028921998248</v>
          </cell>
          <cell r="G71">
            <v>211.51037101957348</v>
          </cell>
          <cell r="H71">
            <v>217.15843801733371</v>
          </cell>
          <cell r="I71">
            <v>217.45057941376959</v>
          </cell>
          <cell r="J71">
            <v>203.71993378128346</v>
          </cell>
          <cell r="K71">
            <v>158.53539779920149</v>
          </cell>
          <cell r="L71">
            <v>188.04167883922486</v>
          </cell>
          <cell r="M71">
            <v>213.94488265653911</v>
          </cell>
          <cell r="N71">
            <v>185.60716720225923</v>
          </cell>
          <cell r="O71">
            <v>228.84409387476873</v>
          </cell>
          <cell r="P71">
            <v>223.78030966988021</v>
          </cell>
          <cell r="T71">
            <v>68</v>
          </cell>
          <cell r="U71" t="str">
            <v>Special Contract</v>
          </cell>
          <cell r="X71">
            <v>175.96650111987535</v>
          </cell>
          <cell r="Y71">
            <v>210.34180543382996</v>
          </cell>
          <cell r="Z71">
            <v>204.30421657415522</v>
          </cell>
          <cell r="AA71">
            <v>193.98188723342096</v>
          </cell>
          <cell r="AB71">
            <v>182.00408997955009</v>
          </cell>
          <cell r="AC71">
            <v>188.62596163209659</v>
          </cell>
          <cell r="AD71">
            <v>148.99211218229624</v>
          </cell>
          <cell r="AE71">
            <v>161.65157269451748</v>
          </cell>
          <cell r="AF71">
            <v>155.90612523127859</v>
          </cell>
          <cell r="AG71">
            <v>146.9471224072451</v>
          </cell>
          <cell r="AH71">
            <v>220.85889570552146</v>
          </cell>
          <cell r="AI71">
            <v>130.68458467231474</v>
          </cell>
        </row>
        <row r="72">
          <cell r="A72">
            <v>69</v>
          </cell>
          <cell r="D72">
            <v>13317.557697925797</v>
          </cell>
          <cell r="E72">
            <v>2053.461875547765</v>
          </cell>
          <cell r="F72">
            <v>1584.6723147336643</v>
          </cell>
          <cell r="G72">
            <v>1184.925503943909</v>
          </cell>
          <cell r="H72">
            <v>1285.5195247833285</v>
          </cell>
          <cell r="I72">
            <v>974.19417664816433</v>
          </cell>
          <cell r="J72">
            <v>943.61671048787605</v>
          </cell>
          <cell r="K72">
            <v>668.51689551076049</v>
          </cell>
          <cell r="L72">
            <v>729.57444736585853</v>
          </cell>
          <cell r="M72">
            <v>782.74418151718771</v>
          </cell>
          <cell r="N72">
            <v>725.0949459538416</v>
          </cell>
          <cell r="O72">
            <v>875.25562372188142</v>
          </cell>
          <cell r="P72">
            <v>1509.9814977115591</v>
          </cell>
          <cell r="T72">
            <v>69</v>
          </cell>
          <cell r="X72">
            <v>1521.9592949654298</v>
          </cell>
          <cell r="Y72">
            <v>1644.9508228649333</v>
          </cell>
          <cell r="Z72">
            <v>1340.6368682442301</v>
          </cell>
          <cell r="AA72">
            <v>1237.0240529749733</v>
          </cell>
          <cell r="AB72">
            <v>939.91625279968844</v>
          </cell>
          <cell r="AC72">
            <v>827.34443470639792</v>
          </cell>
          <cell r="AD72">
            <v>732.78800272665308</v>
          </cell>
          <cell r="AE72">
            <v>693.15415327685264</v>
          </cell>
          <cell r="AF72">
            <v>788.29486804946919</v>
          </cell>
          <cell r="AG72">
            <v>756.2566949070017</v>
          </cell>
          <cell r="AH72">
            <v>1069.2375109553022</v>
          </cell>
          <cell r="AI72">
            <v>1285.130002921414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741342</v>
          </cell>
          <cell r="E76">
            <v>61186</v>
          </cell>
          <cell r="F76">
            <v>61313</v>
          </cell>
          <cell r="G76">
            <v>61568</v>
          </cell>
          <cell r="H76">
            <v>61728</v>
          </cell>
          <cell r="I76">
            <v>61667</v>
          </cell>
          <cell r="J76">
            <v>61704</v>
          </cell>
          <cell r="K76">
            <v>61787</v>
          </cell>
          <cell r="L76">
            <v>61858</v>
          </cell>
          <cell r="M76">
            <v>61925</v>
          </cell>
          <cell r="N76">
            <v>61986</v>
          </cell>
          <cell r="O76">
            <v>62226</v>
          </cell>
          <cell r="P76">
            <v>62394</v>
          </cell>
          <cell r="T76">
            <v>73</v>
          </cell>
          <cell r="U76" t="str">
            <v xml:space="preserve">Customers </v>
          </cell>
          <cell r="X76">
            <v>59567</v>
          </cell>
          <cell r="Y76">
            <v>59710</v>
          </cell>
          <cell r="Z76">
            <v>59921</v>
          </cell>
          <cell r="AA76">
            <v>60111</v>
          </cell>
          <cell r="AB76">
            <v>60057</v>
          </cell>
          <cell r="AC76">
            <v>60052</v>
          </cell>
          <cell r="AD76">
            <v>60064</v>
          </cell>
          <cell r="AE76">
            <v>59939</v>
          </cell>
          <cell r="AF76">
            <v>59993</v>
          </cell>
          <cell r="AG76">
            <v>60079</v>
          </cell>
          <cell r="AH76">
            <v>60353</v>
          </cell>
          <cell r="AI76">
            <v>60552</v>
          </cell>
        </row>
        <row r="77">
          <cell r="A77">
            <v>74</v>
          </cell>
          <cell r="B77" t="str">
            <v>Volume (mcfs)</v>
          </cell>
          <cell r="D77">
            <v>12775442.954357544</v>
          </cell>
          <cell r="E77">
            <v>938417.95964902686</v>
          </cell>
          <cell r="F77">
            <v>905984.11598657409</v>
          </cell>
          <cell r="G77">
            <v>896395.73913431587</v>
          </cell>
          <cell r="H77">
            <v>816603.84522296581</v>
          </cell>
          <cell r="I77">
            <v>1158603.3150259138</v>
          </cell>
          <cell r="J77">
            <v>1135563.9932312428</v>
          </cell>
          <cell r="K77">
            <v>1112956.7061684872</v>
          </cell>
          <cell r="L77">
            <v>1095339.8787173056</v>
          </cell>
          <cell r="M77">
            <v>1101781.2209003596</v>
          </cell>
          <cell r="N77">
            <v>1133577.4743852043</v>
          </cell>
          <cell r="O77">
            <v>1197550.0865273057</v>
          </cell>
          <cell r="P77">
            <v>1282668.6194088443</v>
          </cell>
          <cell r="T77">
            <v>74</v>
          </cell>
          <cell r="U77" t="str">
            <v>Volume (mcfs)</v>
          </cell>
          <cell r="X77">
            <v>652762.68380562856</v>
          </cell>
          <cell r="Y77">
            <v>681727.52945759078</v>
          </cell>
          <cell r="Z77">
            <v>619825.39682539681</v>
          </cell>
          <cell r="AA77">
            <v>675862.10926088225</v>
          </cell>
          <cell r="AB77">
            <v>599567.92287467129</v>
          </cell>
          <cell r="AC77">
            <v>564067.48466257669</v>
          </cell>
          <cell r="AD77">
            <v>537727.23731619434</v>
          </cell>
          <cell r="AE77">
            <v>534283.18239361187</v>
          </cell>
          <cell r="AF77">
            <v>523643.87963774469</v>
          </cell>
          <cell r="AG77">
            <v>552590.02824033494</v>
          </cell>
          <cell r="AH77">
            <v>613500.63297302555</v>
          </cell>
          <cell r="AI77">
            <v>714888.49936702696</v>
          </cell>
        </row>
        <row r="78">
          <cell r="A78">
            <v>75</v>
          </cell>
          <cell r="B78" t="str">
            <v>Volume (dts) (mcfs*1.0269)</v>
          </cell>
          <cell r="D78">
            <v>13119102</v>
          </cell>
          <cell r="E78">
            <v>963661</v>
          </cell>
          <cell r="F78">
            <v>930355</v>
          </cell>
          <cell r="G78">
            <v>920509</v>
          </cell>
          <cell r="H78">
            <v>838570</v>
          </cell>
          <cell r="I78">
            <v>1189770</v>
          </cell>
          <cell r="J78">
            <v>1166111</v>
          </cell>
          <cell r="K78">
            <v>1142895</v>
          </cell>
          <cell r="L78">
            <v>1124805</v>
          </cell>
          <cell r="M78">
            <v>1131419</v>
          </cell>
          <cell r="N78">
            <v>1164071</v>
          </cell>
          <cell r="O78">
            <v>1229764</v>
          </cell>
          <cell r="P78">
            <v>1317172</v>
          </cell>
          <cell r="T78">
            <v>75</v>
          </cell>
          <cell r="U78" t="str">
            <v>Volume (dts) (mcfs*1.0269)</v>
          </cell>
          <cell r="X78">
            <v>670322</v>
          </cell>
          <cell r="Y78">
            <v>700066</v>
          </cell>
          <cell r="Z78">
            <v>636499</v>
          </cell>
          <cell r="AA78">
            <v>694043</v>
          </cell>
          <cell r="AB78">
            <v>615696</v>
          </cell>
          <cell r="AC78">
            <v>579241</v>
          </cell>
          <cell r="AD78">
            <v>552192</v>
          </cell>
          <cell r="AE78">
            <v>548655</v>
          </cell>
          <cell r="AF78">
            <v>537730</v>
          </cell>
          <cell r="AG78">
            <v>567455</v>
          </cell>
          <cell r="AH78">
            <v>630004</v>
          </cell>
          <cell r="AI78">
            <v>734119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- 2018 - actual in Dts (mcfs*1.0269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- 2017 - actual in Dts (mcfs*1.0269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1393785</v>
          </cell>
          <cell r="E81">
            <v>222590</v>
          </cell>
          <cell r="F81">
            <v>157061</v>
          </cell>
          <cell r="G81">
            <v>143411</v>
          </cell>
          <cell r="H81">
            <v>139659</v>
          </cell>
          <cell r="I81">
            <v>100939</v>
          </cell>
          <cell r="J81">
            <v>88686</v>
          </cell>
          <cell r="K81">
            <v>71601</v>
          </cell>
          <cell r="L81">
            <v>68167</v>
          </cell>
          <cell r="M81">
            <v>74445</v>
          </cell>
          <cell r="N81">
            <v>68583</v>
          </cell>
          <cell r="O81">
            <v>101883</v>
          </cell>
          <cell r="P81">
            <v>156760</v>
          </cell>
          <cell r="T81">
            <v>78</v>
          </cell>
          <cell r="U81" t="str">
            <v>Residential</v>
          </cell>
          <cell r="W81">
            <v>1350413</v>
          </cell>
          <cell r="X81">
            <v>173562</v>
          </cell>
          <cell r="Y81">
            <v>151263</v>
          </cell>
          <cell r="Z81">
            <v>145986</v>
          </cell>
          <cell r="AA81">
            <v>132442</v>
          </cell>
          <cell r="AB81">
            <v>91723</v>
          </cell>
          <cell r="AC81">
            <v>80504</v>
          </cell>
          <cell r="AD81">
            <v>70483</v>
          </cell>
          <cell r="AE81">
            <v>63306</v>
          </cell>
          <cell r="AF81">
            <v>113329</v>
          </cell>
          <cell r="AG81">
            <v>77979</v>
          </cell>
          <cell r="AH81">
            <v>104021</v>
          </cell>
          <cell r="AI81">
            <v>145815</v>
          </cell>
        </row>
        <row r="82">
          <cell r="A82">
            <v>79</v>
          </cell>
          <cell r="B82" t="str">
            <v>Commercial</v>
          </cell>
          <cell r="D82">
            <v>1722081</v>
          </cell>
          <cell r="E82">
            <v>196134</v>
          </cell>
          <cell r="F82">
            <v>178291</v>
          </cell>
          <cell r="G82">
            <v>161119</v>
          </cell>
          <cell r="H82">
            <v>161740</v>
          </cell>
          <cell r="I82">
            <v>138404</v>
          </cell>
          <cell r="J82">
            <v>132048</v>
          </cell>
          <cell r="K82">
            <v>110867</v>
          </cell>
          <cell r="L82">
            <v>112674</v>
          </cell>
          <cell r="M82">
            <v>113550</v>
          </cell>
          <cell r="N82">
            <v>105972</v>
          </cell>
          <cell r="O82">
            <v>141433</v>
          </cell>
          <cell r="P82">
            <v>169849</v>
          </cell>
          <cell r="T82">
            <v>79</v>
          </cell>
          <cell r="U82" t="str">
            <v>Commercial</v>
          </cell>
          <cell r="W82">
            <v>1863147</v>
          </cell>
          <cell r="X82">
            <v>209174</v>
          </cell>
          <cell r="Y82">
            <v>195020</v>
          </cell>
          <cell r="Z82">
            <v>197009</v>
          </cell>
          <cell r="AA82">
            <v>178496</v>
          </cell>
          <cell r="AB82">
            <v>142126</v>
          </cell>
          <cell r="AC82">
            <v>138732</v>
          </cell>
          <cell r="AD82">
            <v>127500</v>
          </cell>
          <cell r="AE82">
            <v>117478</v>
          </cell>
          <cell r="AF82">
            <v>121340</v>
          </cell>
          <cell r="AG82">
            <v>119674</v>
          </cell>
          <cell r="AH82">
            <v>147319</v>
          </cell>
          <cell r="AI82">
            <v>169279</v>
          </cell>
        </row>
        <row r="83">
          <cell r="A83">
            <v>80</v>
          </cell>
          <cell r="B83" t="str">
            <v xml:space="preserve">Industrial </v>
          </cell>
          <cell r="D83">
            <v>4900998</v>
          </cell>
          <cell r="E83">
            <v>460431</v>
          </cell>
          <cell r="F83">
            <v>419567</v>
          </cell>
          <cell r="G83">
            <v>424532</v>
          </cell>
          <cell r="H83">
            <v>432680</v>
          </cell>
          <cell r="I83">
            <v>410929</v>
          </cell>
          <cell r="J83">
            <v>402341</v>
          </cell>
          <cell r="K83">
            <v>377048</v>
          </cell>
          <cell r="L83">
            <v>378314</v>
          </cell>
          <cell r="M83">
            <v>374937</v>
          </cell>
          <cell r="N83">
            <v>376320</v>
          </cell>
          <cell r="O83">
            <v>408606</v>
          </cell>
          <cell r="P83">
            <v>435293</v>
          </cell>
          <cell r="T83">
            <v>80</v>
          </cell>
          <cell r="U83" t="str">
            <v xml:space="preserve">Industrial </v>
          </cell>
          <cell r="W83">
            <v>4543775</v>
          </cell>
          <cell r="X83">
            <v>411557</v>
          </cell>
          <cell r="Y83">
            <v>375690</v>
          </cell>
          <cell r="Z83">
            <v>402016</v>
          </cell>
          <cell r="AA83">
            <v>374438</v>
          </cell>
          <cell r="AB83">
            <v>365612</v>
          </cell>
          <cell r="AC83">
            <v>360380</v>
          </cell>
          <cell r="AD83">
            <v>386016</v>
          </cell>
          <cell r="AE83">
            <v>369921</v>
          </cell>
          <cell r="AF83">
            <v>326764</v>
          </cell>
          <cell r="AG83">
            <v>378417</v>
          </cell>
          <cell r="AH83">
            <v>376220</v>
          </cell>
          <cell r="AI83">
            <v>416744</v>
          </cell>
        </row>
        <row r="84">
          <cell r="A84">
            <v>81</v>
          </cell>
          <cell r="B84" t="str">
            <v>Other</v>
          </cell>
          <cell r="D84">
            <v>2338815</v>
          </cell>
          <cell r="E84">
            <v>199975</v>
          </cell>
          <cell r="F84">
            <v>104390</v>
          </cell>
          <cell r="G84">
            <v>216142</v>
          </cell>
          <cell r="H84">
            <v>170064</v>
          </cell>
          <cell r="I84">
            <v>169563</v>
          </cell>
          <cell r="J84">
            <v>124513</v>
          </cell>
          <cell r="K84">
            <v>131966</v>
          </cell>
          <cell r="L84">
            <v>158526</v>
          </cell>
          <cell r="M84">
            <v>144484</v>
          </cell>
          <cell r="N84">
            <v>218496</v>
          </cell>
          <cell r="O84">
            <v>209363</v>
          </cell>
          <cell r="P84">
            <v>491333</v>
          </cell>
          <cell r="T84">
            <v>81</v>
          </cell>
          <cell r="U84" t="str">
            <v>Other</v>
          </cell>
          <cell r="W84">
            <v>1875761</v>
          </cell>
          <cell r="X84">
            <v>167819</v>
          </cell>
          <cell r="Y84">
            <v>147169</v>
          </cell>
          <cell r="Z84">
            <v>172922</v>
          </cell>
          <cell r="AA84">
            <v>144203</v>
          </cell>
          <cell r="AB84">
            <v>166740</v>
          </cell>
          <cell r="AC84">
            <v>148258</v>
          </cell>
          <cell r="AD84">
            <v>93966</v>
          </cell>
          <cell r="AE84">
            <v>123772</v>
          </cell>
          <cell r="AF84">
            <v>117144</v>
          </cell>
          <cell r="AG84">
            <v>188872</v>
          </cell>
          <cell r="AH84">
            <v>198975</v>
          </cell>
          <cell r="AI84">
            <v>205921</v>
          </cell>
        </row>
        <row r="85">
          <cell r="A85">
            <v>82</v>
          </cell>
          <cell r="B85" t="str">
            <v>Total Deliveries</v>
          </cell>
          <cell r="D85">
            <v>10355679</v>
          </cell>
          <cell r="E85">
            <v>1079130</v>
          </cell>
          <cell r="F85">
            <v>859309</v>
          </cell>
          <cell r="G85">
            <v>945204</v>
          </cell>
          <cell r="H85">
            <v>904143</v>
          </cell>
          <cell r="I85">
            <v>819835</v>
          </cell>
          <cell r="J85">
            <v>747588</v>
          </cell>
          <cell r="K85">
            <v>691482</v>
          </cell>
          <cell r="L85">
            <v>717681</v>
          </cell>
          <cell r="M85">
            <v>707416</v>
          </cell>
          <cell r="N85">
            <v>769371</v>
          </cell>
          <cell r="O85">
            <v>861285</v>
          </cell>
          <cell r="P85">
            <v>1253235</v>
          </cell>
          <cell r="T85">
            <v>82</v>
          </cell>
          <cell r="U85" t="str">
            <v>Total Deliveries</v>
          </cell>
          <cell r="W85">
            <v>9633096</v>
          </cell>
          <cell r="X85">
            <v>962112</v>
          </cell>
          <cell r="Y85">
            <v>869142</v>
          </cell>
          <cell r="Z85">
            <v>917933</v>
          </cell>
          <cell r="AA85">
            <v>829579</v>
          </cell>
          <cell r="AB85">
            <v>766201</v>
          </cell>
          <cell r="AC85">
            <v>727874</v>
          </cell>
          <cell r="AD85">
            <v>677965</v>
          </cell>
          <cell r="AE85">
            <v>674477</v>
          </cell>
          <cell r="AF85">
            <v>678577</v>
          </cell>
          <cell r="AG85">
            <v>764942</v>
          </cell>
          <cell r="AH85">
            <v>826535</v>
          </cell>
          <cell r="AI85">
            <v>937759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- 2018</v>
          </cell>
          <cell r="T89">
            <v>86</v>
          </cell>
          <cell r="U89" t="str">
            <v>Customers - 2017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55186</v>
          </cell>
          <cell r="F91">
            <v>55190</v>
          </cell>
          <cell r="G91">
            <v>55280</v>
          </cell>
          <cell r="H91">
            <v>55343</v>
          </cell>
          <cell r="I91">
            <v>55379</v>
          </cell>
          <cell r="J91">
            <v>55430</v>
          </cell>
          <cell r="K91">
            <v>55459</v>
          </cell>
          <cell r="L91">
            <v>55500</v>
          </cell>
          <cell r="M91">
            <v>55541</v>
          </cell>
          <cell r="N91">
            <v>55577</v>
          </cell>
          <cell r="O91">
            <v>55636</v>
          </cell>
          <cell r="P91">
            <v>55701</v>
          </cell>
          <cell r="T91">
            <v>88</v>
          </cell>
          <cell r="U91" t="str">
            <v>Residential</v>
          </cell>
          <cell r="X91">
            <v>53892</v>
          </cell>
          <cell r="Y91">
            <v>53949</v>
          </cell>
          <cell r="Z91">
            <v>54041</v>
          </cell>
          <cell r="AA91">
            <v>54133</v>
          </cell>
          <cell r="AB91">
            <v>54182</v>
          </cell>
          <cell r="AC91">
            <v>54196</v>
          </cell>
          <cell r="AD91">
            <v>54230</v>
          </cell>
          <cell r="AE91">
            <v>54272</v>
          </cell>
          <cell r="AF91">
            <v>54312</v>
          </cell>
          <cell r="AG91">
            <v>54338</v>
          </cell>
          <cell r="AH91">
            <v>54365</v>
          </cell>
          <cell r="AI91">
            <v>54410</v>
          </cell>
        </row>
        <row r="92">
          <cell r="A92">
            <v>89</v>
          </cell>
          <cell r="B92" t="str">
            <v>Commercial</v>
          </cell>
          <cell r="E92">
            <v>3934</v>
          </cell>
          <cell r="F92">
            <v>3927</v>
          </cell>
          <cell r="G92">
            <v>3927</v>
          </cell>
          <cell r="H92">
            <v>3931</v>
          </cell>
          <cell r="I92">
            <v>3931</v>
          </cell>
          <cell r="J92">
            <v>3928</v>
          </cell>
          <cell r="K92">
            <v>3924</v>
          </cell>
          <cell r="L92">
            <v>3923</v>
          </cell>
          <cell r="M92">
            <v>3923</v>
          </cell>
          <cell r="N92">
            <v>3919</v>
          </cell>
          <cell r="O92">
            <v>3918</v>
          </cell>
          <cell r="P92">
            <v>3915</v>
          </cell>
          <cell r="T92">
            <v>89</v>
          </cell>
          <cell r="U92" t="str">
            <v>Commercial</v>
          </cell>
          <cell r="X92">
            <v>4186</v>
          </cell>
          <cell r="Y92">
            <v>4185</v>
          </cell>
          <cell r="Z92">
            <v>4173</v>
          </cell>
          <cell r="AA92">
            <v>4160</v>
          </cell>
          <cell r="AB92">
            <v>4141</v>
          </cell>
          <cell r="AC92">
            <v>4123</v>
          </cell>
          <cell r="AD92">
            <v>4111</v>
          </cell>
          <cell r="AE92">
            <v>4098</v>
          </cell>
          <cell r="AF92">
            <v>4084</v>
          </cell>
          <cell r="AG92">
            <v>4072</v>
          </cell>
          <cell r="AH92">
            <v>4062</v>
          </cell>
          <cell r="AI92">
            <v>4054</v>
          </cell>
        </row>
        <row r="93">
          <cell r="A93">
            <v>90</v>
          </cell>
          <cell r="B93" t="str">
            <v xml:space="preserve">Industrial </v>
          </cell>
          <cell r="E93">
            <v>2233</v>
          </cell>
          <cell r="F93">
            <v>2242</v>
          </cell>
          <cell r="G93">
            <v>2251</v>
          </cell>
          <cell r="H93">
            <v>2258</v>
          </cell>
          <cell r="I93">
            <v>2262</v>
          </cell>
          <cell r="J93">
            <v>2269</v>
          </cell>
          <cell r="K93">
            <v>2275</v>
          </cell>
          <cell r="L93">
            <v>2280</v>
          </cell>
          <cell r="M93">
            <v>2289</v>
          </cell>
          <cell r="N93">
            <v>2296</v>
          </cell>
          <cell r="O93">
            <v>2303</v>
          </cell>
          <cell r="P93">
            <v>2312</v>
          </cell>
          <cell r="T93">
            <v>90</v>
          </cell>
          <cell r="U93" t="str">
            <v xml:space="preserve">Industrial </v>
          </cell>
          <cell r="X93">
            <v>1898</v>
          </cell>
          <cell r="Y93">
            <v>1918</v>
          </cell>
          <cell r="Z93">
            <v>1938</v>
          </cell>
          <cell r="AA93">
            <v>1961</v>
          </cell>
          <cell r="AB93">
            <v>1980</v>
          </cell>
          <cell r="AC93">
            <v>1997</v>
          </cell>
          <cell r="AD93">
            <v>2012</v>
          </cell>
          <cell r="AE93">
            <v>2027</v>
          </cell>
          <cell r="AF93">
            <v>2042</v>
          </cell>
          <cell r="AG93">
            <v>2055</v>
          </cell>
          <cell r="AH93">
            <v>2066</v>
          </cell>
          <cell r="AI93">
            <v>2078</v>
          </cell>
        </row>
        <row r="94">
          <cell r="A94">
            <v>91</v>
          </cell>
          <cell r="B94" t="str">
            <v>Other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11</v>
          </cell>
          <cell r="K94">
            <v>11</v>
          </cell>
          <cell r="L94">
            <v>11</v>
          </cell>
          <cell r="M94">
            <v>11</v>
          </cell>
          <cell r="N94">
            <v>11</v>
          </cell>
          <cell r="O94">
            <v>11</v>
          </cell>
          <cell r="P94">
            <v>11</v>
          </cell>
          <cell r="T94">
            <v>91</v>
          </cell>
          <cell r="U94" t="str">
            <v>Other</v>
          </cell>
          <cell r="X94">
            <v>10</v>
          </cell>
          <cell r="Y94">
            <v>10</v>
          </cell>
          <cell r="Z94">
            <v>10</v>
          </cell>
          <cell r="AA94">
            <v>10</v>
          </cell>
          <cell r="AB94">
            <v>10</v>
          </cell>
          <cell r="AC94">
            <v>10</v>
          </cell>
          <cell r="AD94">
            <v>10</v>
          </cell>
          <cell r="AE94">
            <v>10</v>
          </cell>
          <cell r="AF94">
            <v>10</v>
          </cell>
          <cell r="AG94">
            <v>10</v>
          </cell>
          <cell r="AH94">
            <v>10</v>
          </cell>
          <cell r="AI94">
            <v>10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61363</v>
          </cell>
          <cell r="F95">
            <v>61369</v>
          </cell>
          <cell r="G95">
            <v>61468</v>
          </cell>
          <cell r="H95">
            <v>61542</v>
          </cell>
          <cell r="I95">
            <v>61582</v>
          </cell>
          <cell r="J95">
            <v>61638</v>
          </cell>
          <cell r="K95">
            <v>61669</v>
          </cell>
          <cell r="L95">
            <v>61714</v>
          </cell>
          <cell r="M95">
            <v>61764</v>
          </cell>
          <cell r="N95">
            <v>61803</v>
          </cell>
          <cell r="O95">
            <v>61868</v>
          </cell>
          <cell r="P95">
            <v>61939</v>
          </cell>
          <cell r="T95">
            <v>92</v>
          </cell>
          <cell r="U95" t="str">
            <v>Total customers</v>
          </cell>
          <cell r="X95">
            <v>59986</v>
          </cell>
          <cell r="Y95">
            <v>60062</v>
          </cell>
          <cell r="Z95">
            <v>60162</v>
          </cell>
          <cell r="AA95">
            <v>60264</v>
          </cell>
          <cell r="AB95">
            <v>60313</v>
          </cell>
          <cell r="AC95">
            <v>60326</v>
          </cell>
          <cell r="AD95">
            <v>60363</v>
          </cell>
          <cell r="AE95">
            <v>60407</v>
          </cell>
          <cell r="AF95">
            <v>60448</v>
          </cell>
          <cell r="AG95">
            <v>60475</v>
          </cell>
          <cell r="AH95">
            <v>60503</v>
          </cell>
          <cell r="AI95">
            <v>60552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79924</v>
          </cell>
          <cell r="T97">
            <v>94</v>
          </cell>
        </row>
        <row r="98">
          <cell r="A98">
            <v>95</v>
          </cell>
          <cell r="B98" t="str">
            <v>Volume - 2018 -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- 2017 -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216758.88596747493</v>
          </cell>
          <cell r="F99">
            <v>369705.61885285808</v>
          </cell>
          <cell r="G99">
            <v>509359.91820040898</v>
          </cell>
          <cell r="H99">
            <v>645360.11296134</v>
          </cell>
          <cell r="I99">
            <v>743654.88363034383</v>
          </cell>
          <cell r="J99">
            <v>830018.11276657914</v>
          </cell>
          <cell r="K99">
            <v>899743.79199532582</v>
          </cell>
          <cell r="L99">
            <v>966125.13389814016</v>
          </cell>
          <cell r="M99">
            <v>1038619.5345213751</v>
          </cell>
          <cell r="N99">
            <v>1105406.3950598889</v>
          </cell>
          <cell r="O99">
            <v>1204620.5648914226</v>
          </cell>
          <cell r="P99">
            <v>1357274.1786804965</v>
          </cell>
          <cell r="T99">
            <v>96</v>
          </cell>
          <cell r="U99" t="str">
            <v>Residential</v>
          </cell>
          <cell r="X99">
            <v>169015.09397214919</v>
          </cell>
          <cell r="Y99">
            <v>316315.51270815078</v>
          </cell>
          <cell r="Z99">
            <v>458477.65118317271</v>
          </cell>
          <cell r="AA99">
            <v>587449.8977505113</v>
          </cell>
          <cell r="AB99">
            <v>676770.27948193601</v>
          </cell>
          <cell r="AC99">
            <v>755165.74155224464</v>
          </cell>
          <cell r="AD99">
            <v>823802.80455740588</v>
          </cell>
          <cell r="AE99">
            <v>885450.77417470061</v>
          </cell>
          <cell r="AF99">
            <v>995811.17927743704</v>
          </cell>
          <cell r="AG99">
            <v>1071747.2003116177</v>
          </cell>
          <cell r="AH99">
            <v>1173043.723829</v>
          </cell>
          <cell r="AI99">
            <v>1315039.3417080536</v>
          </cell>
        </row>
        <row r="100">
          <cell r="A100">
            <v>97</v>
          </cell>
          <cell r="B100" t="str">
            <v>Commercial</v>
          </cell>
          <cell r="E100">
            <v>190995.81263998442</v>
          </cell>
          <cell r="F100">
            <v>364615.93144415226</v>
          </cell>
          <cell r="G100">
            <v>521513.97409679613</v>
          </cell>
          <cell r="H100">
            <v>679016.94420099317</v>
          </cell>
          <cell r="I100">
            <v>813795.50102249475</v>
          </cell>
          <cell r="J100">
            <v>942384.45807770942</v>
          </cell>
          <cell r="K100">
            <v>1050346.7718375693</v>
          </cell>
          <cell r="L100">
            <v>1160068.8479890933</v>
          </cell>
          <cell r="M100">
            <v>1270644.1717791411</v>
          </cell>
          <cell r="N100">
            <v>1373839.8328503261</v>
          </cell>
          <cell r="O100">
            <v>1511567.5930996202</v>
          </cell>
          <cell r="P100">
            <v>1676967.2903437531</v>
          </cell>
          <cell r="T100">
            <v>97</v>
          </cell>
          <cell r="U100" t="str">
            <v>Commercial</v>
          </cell>
          <cell r="X100">
            <v>203694.61486025903</v>
          </cell>
          <cell r="Y100">
            <v>393605.99863667344</v>
          </cell>
          <cell r="Z100">
            <v>585454.3772519232</v>
          </cell>
          <cell r="AA100">
            <v>759274.41815171868</v>
          </cell>
          <cell r="AB100">
            <v>897677.57327880012</v>
          </cell>
          <cell r="AC100">
            <v>1032774.9537442788</v>
          </cell>
          <cell r="AD100">
            <v>1156935.4367513875</v>
          </cell>
          <cell r="AE100">
            <v>1271336.157366832</v>
          </cell>
          <cell r="AF100">
            <v>1389497.2246567337</v>
          </cell>
          <cell r="AG100">
            <v>1506035.9333917615</v>
          </cell>
          <cell r="AH100">
            <v>1649496.0560911479</v>
          </cell>
          <cell r="AI100">
            <v>1814340.9290096406</v>
          </cell>
        </row>
        <row r="101">
          <cell r="A101">
            <v>98</v>
          </cell>
          <cell r="B101" t="str">
            <v xml:space="preserve">Industrial </v>
          </cell>
          <cell r="E101">
            <v>448369.94838835328</v>
          </cell>
          <cell r="F101">
            <v>856946.1486025902</v>
          </cell>
          <cell r="G101">
            <v>1270357.1915473754</v>
          </cell>
          <cell r="H101">
            <v>1691703.2817216865</v>
          </cell>
          <cell r="I101">
            <v>2091867.7573278798</v>
          </cell>
          <cell r="J101">
            <v>2483669.003797838</v>
          </cell>
          <cell r="K101">
            <v>2850839.6143733566</v>
          </cell>
          <cell r="L101">
            <v>3219243.0616418347</v>
          </cell>
          <cell r="M101">
            <v>3584358.4574934267</v>
          </cell>
          <cell r="N101">
            <v>3950820.8574934267</v>
          </cell>
          <cell r="O101">
            <v>4348723.4965040414</v>
          </cell>
          <cell r="P101">
            <v>4772613.4965040414</v>
          </cell>
          <cell r="T101">
            <v>98</v>
          </cell>
          <cell r="U101" t="str">
            <v xml:space="preserve">Industrial </v>
          </cell>
          <cell r="X101">
            <v>400776.21969033009</v>
          </cell>
          <cell r="Y101">
            <v>766624.89044697629</v>
          </cell>
          <cell r="Z101">
            <v>1158109.6504041289</v>
          </cell>
          <cell r="AA101">
            <v>1522739.1177329826</v>
          </cell>
          <cell r="AB101">
            <v>1878773.4930372965</v>
          </cell>
          <cell r="AC101">
            <v>2229713.4092900963</v>
          </cell>
          <cell r="AD101">
            <v>2605617.9764339272</v>
          </cell>
          <cell r="AE101">
            <v>2965848.670756646</v>
          </cell>
          <cell r="AF101">
            <v>3284052.8775927546</v>
          </cell>
          <cell r="AG101">
            <v>3652556.8215016066</v>
          </cell>
          <cell r="AH101">
            <v>4018921.9982471513</v>
          </cell>
          <cell r="AI101">
            <v>4424749.3426818578</v>
          </cell>
        </row>
        <row r="102">
          <cell r="A102">
            <v>99</v>
          </cell>
          <cell r="B102" t="str">
            <v>Other</v>
          </cell>
          <cell r="E102">
            <v>194736.14383094752</v>
          </cell>
          <cell r="F102">
            <v>296391.47054240922</v>
          </cell>
          <cell r="G102">
            <v>506871.36147628789</v>
          </cell>
          <cell r="H102">
            <v>672480.37890739122</v>
          </cell>
          <cell r="I102">
            <v>837601.52020644664</v>
          </cell>
          <cell r="J102">
            <v>958852.96903301205</v>
          </cell>
          <cell r="K102">
            <v>1087361.7470055507</v>
          </cell>
          <cell r="L102">
            <v>1241734.9260882267</v>
          </cell>
          <cell r="M102">
            <v>1382433.8773006136</v>
          </cell>
          <cell r="N102">
            <v>1595206.1344678157</v>
          </cell>
          <cell r="O102">
            <v>1799085.1704012076</v>
          </cell>
          <cell r="P102">
            <v>2277547.9507108778</v>
          </cell>
          <cell r="T102">
            <v>99</v>
          </cell>
          <cell r="U102" t="str">
            <v>Other</v>
          </cell>
          <cell r="X102">
            <v>163423.28269549127</v>
          </cell>
          <cell r="Y102">
            <v>306736.95588664914</v>
          </cell>
          <cell r="Z102">
            <v>475129.57834258449</v>
          </cell>
          <cell r="AA102">
            <v>615555.35193300224</v>
          </cell>
          <cell r="AB102">
            <v>777927.53422923363</v>
          </cell>
          <cell r="AC102">
            <v>922302.2007011394</v>
          </cell>
          <cell r="AD102">
            <v>1013806.6002531892</v>
          </cell>
          <cell r="AE102">
            <v>1134336.5544843704</v>
          </cell>
          <cell r="AF102">
            <v>1248412.1027363911</v>
          </cell>
          <cell r="AG102">
            <v>1432336.0550199631</v>
          </cell>
          <cell r="AH102">
            <v>1626098.8822670174</v>
          </cell>
          <cell r="AI102">
            <v>1826625.8100107121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1050860.7908267602</v>
          </cell>
          <cell r="F103">
            <v>1887659.1694420099</v>
          </cell>
          <cell r="G103">
            <v>2808102.4453208684</v>
          </cell>
          <cell r="H103">
            <v>3688560.7177914111</v>
          </cell>
          <cell r="I103">
            <v>4486919.6621871646</v>
          </cell>
          <cell r="J103">
            <v>5214924.5436751386</v>
          </cell>
          <cell r="K103">
            <v>5888291.9252118021</v>
          </cell>
          <cell r="L103">
            <v>6587171.9696172951</v>
          </cell>
          <cell r="M103">
            <v>7276056.0410945565</v>
          </cell>
          <cell r="N103">
            <v>8025273.2198714577</v>
          </cell>
          <cell r="O103">
            <v>8863996.8248962928</v>
          </cell>
          <cell r="P103">
            <v>10084402.916239168</v>
          </cell>
          <cell r="T103">
            <v>100</v>
          </cell>
          <cell r="U103" t="str">
            <v>Total Deliveries</v>
          </cell>
          <cell r="X103">
            <v>936909.21121822949</v>
          </cell>
          <cell r="Y103">
            <v>1783283.3576784497</v>
          </cell>
          <cell r="Z103">
            <v>2677171.2571818093</v>
          </cell>
          <cell r="AA103">
            <v>3485018.785568215</v>
          </cell>
          <cell r="AB103">
            <v>4231148.8800272662</v>
          </cell>
          <cell r="AC103">
            <v>4939956.3052877598</v>
          </cell>
          <cell r="AD103">
            <v>5600162.8179959096</v>
          </cell>
          <cell r="AE103">
            <v>6256972.1567825489</v>
          </cell>
          <cell r="AF103">
            <v>6917773.3842633162</v>
          </cell>
          <cell r="AG103">
            <v>7662676.0102249496</v>
          </cell>
          <cell r="AH103">
            <v>8467560.6604343168</v>
          </cell>
          <cell r="AI103">
            <v>9380755.4234102648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- 2018 -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- 2017 -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222590</v>
          </cell>
          <cell r="F107">
            <v>379651</v>
          </cell>
          <cell r="G107">
            <v>523062</v>
          </cell>
          <cell r="H107">
            <v>662721</v>
          </cell>
          <cell r="I107">
            <v>763660</v>
          </cell>
          <cell r="J107">
            <v>852346</v>
          </cell>
          <cell r="K107">
            <v>923947</v>
          </cell>
          <cell r="L107">
            <v>992114</v>
          </cell>
          <cell r="M107">
            <v>1066559</v>
          </cell>
          <cell r="N107">
            <v>1135142</v>
          </cell>
          <cell r="O107">
            <v>1237025</v>
          </cell>
          <cell r="P107">
            <v>1393785</v>
          </cell>
          <cell r="T107">
            <v>104</v>
          </cell>
          <cell r="U107" t="str">
            <v>Residential</v>
          </cell>
          <cell r="X107">
            <v>173562</v>
          </cell>
          <cell r="Y107">
            <v>324825</v>
          </cell>
          <cell r="Z107">
            <v>470811</v>
          </cell>
          <cell r="AA107">
            <v>603253</v>
          </cell>
          <cell r="AB107">
            <v>694976</v>
          </cell>
          <cell r="AC107">
            <v>775480</v>
          </cell>
          <cell r="AD107">
            <v>845963</v>
          </cell>
          <cell r="AE107">
            <v>909269</v>
          </cell>
          <cell r="AF107">
            <v>1022598</v>
          </cell>
          <cell r="AG107">
            <v>1100577</v>
          </cell>
          <cell r="AH107">
            <v>1204598</v>
          </cell>
          <cell r="AI107">
            <v>1350413</v>
          </cell>
        </row>
        <row r="108">
          <cell r="A108">
            <v>105</v>
          </cell>
          <cell r="B108" t="str">
            <v>Commercial</v>
          </cell>
          <cell r="E108">
            <v>196134</v>
          </cell>
          <cell r="F108">
            <v>374425</v>
          </cell>
          <cell r="G108">
            <v>535544</v>
          </cell>
          <cell r="H108">
            <v>697284</v>
          </cell>
          <cell r="I108">
            <v>835688</v>
          </cell>
          <cell r="J108">
            <v>967736</v>
          </cell>
          <cell r="K108">
            <v>1078603</v>
          </cell>
          <cell r="L108">
            <v>1191277</v>
          </cell>
          <cell r="M108">
            <v>1304827</v>
          </cell>
          <cell r="N108">
            <v>1410799</v>
          </cell>
          <cell r="O108">
            <v>1552232</v>
          </cell>
          <cell r="P108">
            <v>1722081</v>
          </cell>
          <cell r="T108">
            <v>105</v>
          </cell>
          <cell r="U108" t="str">
            <v>Commercial</v>
          </cell>
          <cell r="X108">
            <v>209174</v>
          </cell>
          <cell r="Y108">
            <v>404194</v>
          </cell>
          <cell r="Z108">
            <v>601203</v>
          </cell>
          <cell r="AA108">
            <v>779699</v>
          </cell>
          <cell r="AB108">
            <v>921825</v>
          </cell>
          <cell r="AC108">
            <v>1060557</v>
          </cell>
          <cell r="AD108">
            <v>1188057</v>
          </cell>
          <cell r="AE108">
            <v>1305535</v>
          </cell>
          <cell r="AF108">
            <v>1426875</v>
          </cell>
          <cell r="AG108">
            <v>1546549</v>
          </cell>
          <cell r="AH108">
            <v>1693868</v>
          </cell>
          <cell r="AI108">
            <v>1863147</v>
          </cell>
        </row>
        <row r="109">
          <cell r="A109">
            <v>106</v>
          </cell>
          <cell r="B109" t="str">
            <v xml:space="preserve">Industrial </v>
          </cell>
          <cell r="E109">
            <v>460431</v>
          </cell>
          <cell r="F109">
            <v>879998</v>
          </cell>
          <cell r="G109">
            <v>1304530</v>
          </cell>
          <cell r="H109">
            <v>1737210</v>
          </cell>
          <cell r="I109">
            <v>2148139</v>
          </cell>
          <cell r="J109">
            <v>2550480</v>
          </cell>
          <cell r="K109">
            <v>2927528</v>
          </cell>
          <cell r="L109">
            <v>3305842</v>
          </cell>
          <cell r="M109">
            <v>3680779</v>
          </cell>
          <cell r="N109">
            <v>4057099</v>
          </cell>
          <cell r="O109">
            <v>4465705</v>
          </cell>
          <cell r="P109">
            <v>4900998</v>
          </cell>
          <cell r="T109">
            <v>106</v>
          </cell>
          <cell r="U109" t="str">
            <v xml:space="preserve">Industrial </v>
          </cell>
          <cell r="X109">
            <v>411557</v>
          </cell>
          <cell r="Y109">
            <v>787247</v>
          </cell>
          <cell r="Z109">
            <v>1189263</v>
          </cell>
          <cell r="AA109">
            <v>1563701</v>
          </cell>
          <cell r="AB109">
            <v>1929313</v>
          </cell>
          <cell r="AC109">
            <v>2289693</v>
          </cell>
          <cell r="AD109">
            <v>2675709</v>
          </cell>
          <cell r="AE109">
            <v>3045630</v>
          </cell>
          <cell r="AF109">
            <v>3372394</v>
          </cell>
          <cell r="AG109">
            <v>3750811</v>
          </cell>
          <cell r="AH109">
            <v>4127031</v>
          </cell>
          <cell r="AI109">
            <v>4543775</v>
          </cell>
        </row>
        <row r="110">
          <cell r="A110">
            <v>107</v>
          </cell>
          <cell r="B110" t="str">
            <v>Other</v>
          </cell>
          <cell r="E110">
            <v>199975</v>
          </cell>
          <cell r="F110">
            <v>304365</v>
          </cell>
          <cell r="G110">
            <v>520507</v>
          </cell>
          <cell r="H110">
            <v>690571</v>
          </cell>
          <cell r="I110">
            <v>860134</v>
          </cell>
          <cell r="J110">
            <v>984647</v>
          </cell>
          <cell r="K110">
            <v>1116613</v>
          </cell>
          <cell r="L110">
            <v>1275139</v>
          </cell>
          <cell r="M110">
            <v>1419623</v>
          </cell>
          <cell r="N110">
            <v>1638119</v>
          </cell>
          <cell r="O110">
            <v>1847482</v>
          </cell>
          <cell r="P110">
            <v>2338815</v>
          </cell>
          <cell r="T110">
            <v>107</v>
          </cell>
          <cell r="U110" t="str">
            <v>Other</v>
          </cell>
          <cell r="X110">
            <v>167819</v>
          </cell>
          <cell r="Y110">
            <v>314988</v>
          </cell>
          <cell r="Z110">
            <v>487910</v>
          </cell>
          <cell r="AA110">
            <v>632113</v>
          </cell>
          <cell r="AB110">
            <v>798853</v>
          </cell>
          <cell r="AC110">
            <v>947111</v>
          </cell>
          <cell r="AD110">
            <v>1041077</v>
          </cell>
          <cell r="AE110">
            <v>1164849</v>
          </cell>
          <cell r="AF110">
            <v>1281993</v>
          </cell>
          <cell r="AG110">
            <v>1470865</v>
          </cell>
          <cell r="AH110">
            <v>1669840</v>
          </cell>
          <cell r="AI110">
            <v>1875761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1079130</v>
          </cell>
          <cell r="F111">
            <v>1938439</v>
          </cell>
          <cell r="G111">
            <v>2883643</v>
          </cell>
          <cell r="H111">
            <v>3787786</v>
          </cell>
          <cell r="I111">
            <v>4607621</v>
          </cell>
          <cell r="J111">
            <v>5355209</v>
          </cell>
          <cell r="K111">
            <v>6046691</v>
          </cell>
          <cell r="L111">
            <v>6764372</v>
          </cell>
          <cell r="M111">
            <v>7471788</v>
          </cell>
          <cell r="N111">
            <v>8241159</v>
          </cell>
          <cell r="O111">
            <v>9102444</v>
          </cell>
          <cell r="P111">
            <v>10355679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962112</v>
          </cell>
          <cell r="Y111">
            <v>1831254</v>
          </cell>
          <cell r="Z111">
            <v>2749187</v>
          </cell>
          <cell r="AA111">
            <v>3578766</v>
          </cell>
          <cell r="AB111">
            <v>4344967</v>
          </cell>
          <cell r="AC111">
            <v>5072841</v>
          </cell>
          <cell r="AD111">
            <v>5750806</v>
          </cell>
          <cell r="AE111">
            <v>6425283</v>
          </cell>
          <cell r="AF111">
            <v>7103860</v>
          </cell>
          <cell r="AG111">
            <v>7868802</v>
          </cell>
          <cell r="AH111">
            <v>8695337</v>
          </cell>
          <cell r="AI111">
            <v>9633096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E114">
            <v>61186</v>
          </cell>
          <cell r="F114">
            <v>61250</v>
          </cell>
          <cell r="G114">
            <v>61356</v>
          </cell>
          <cell r="H114">
            <v>61449</v>
          </cell>
          <cell r="I114">
            <v>61492</v>
          </cell>
          <cell r="J114">
            <v>61528</v>
          </cell>
          <cell r="K114">
            <v>61565</v>
          </cell>
          <cell r="L114">
            <v>61601</v>
          </cell>
          <cell r="M114">
            <v>61637</v>
          </cell>
          <cell r="N114">
            <v>61672</v>
          </cell>
          <cell r="O114">
            <v>61723</v>
          </cell>
          <cell r="P114">
            <v>61779</v>
          </cell>
          <cell r="T114">
            <v>111</v>
          </cell>
          <cell r="U114" t="str">
            <v xml:space="preserve">Customers </v>
          </cell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E115">
            <v>938417.95964902686</v>
          </cell>
          <cell r="F115">
            <v>1844402.0756356008</v>
          </cell>
          <cell r="G115">
            <v>2740797.8147699167</v>
          </cell>
          <cell r="H115">
            <v>3557401.6599928825</v>
          </cell>
          <cell r="I115">
            <v>4716004.9750187965</v>
          </cell>
          <cell r="J115">
            <v>5851568.968250039</v>
          </cell>
          <cell r="K115">
            <v>6964525.6744185258</v>
          </cell>
          <cell r="L115">
            <v>8059865.5531358309</v>
          </cell>
          <cell r="M115">
            <v>9161646.7740361914</v>
          </cell>
          <cell r="N115">
            <v>10295224.248421395</v>
          </cell>
          <cell r="O115">
            <v>11492774.3349487</v>
          </cell>
          <cell r="P115">
            <v>12775442.954357544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E116">
            <v>963661</v>
          </cell>
          <cell r="F116">
            <v>1894016</v>
          </cell>
          <cell r="G116">
            <v>2814525</v>
          </cell>
          <cell r="H116">
            <v>3653095</v>
          </cell>
          <cell r="I116">
            <v>4842865</v>
          </cell>
          <cell r="J116">
            <v>6008976</v>
          </cell>
          <cell r="K116">
            <v>7151871</v>
          </cell>
          <cell r="L116">
            <v>8276676</v>
          </cell>
          <cell r="M116">
            <v>9408095</v>
          </cell>
          <cell r="N116">
            <v>10572166</v>
          </cell>
          <cell r="O116">
            <v>11801930</v>
          </cell>
          <cell r="P116">
            <v>13119102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17</v>
          </cell>
          <cell r="D7">
            <v>204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17</v>
          </cell>
          <cell r="P7">
            <v>17</v>
          </cell>
          <cell r="T7">
            <v>4</v>
          </cell>
          <cell r="U7" t="str">
            <v>Interruptible transporation</v>
          </cell>
          <cell r="V7">
            <v>17</v>
          </cell>
          <cell r="W7">
            <v>207</v>
          </cell>
          <cell r="X7">
            <v>17</v>
          </cell>
          <cell r="Y7">
            <v>16</v>
          </cell>
          <cell r="Z7">
            <v>17</v>
          </cell>
          <cell r="AA7">
            <v>16</v>
          </cell>
          <cell r="AB7">
            <v>16</v>
          </cell>
          <cell r="AC7">
            <v>18</v>
          </cell>
          <cell r="AD7">
            <v>18</v>
          </cell>
          <cell r="AE7">
            <v>18</v>
          </cell>
          <cell r="AF7">
            <v>18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14</v>
          </cell>
          <cell r="D9">
            <v>168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14</v>
          </cell>
          <cell r="J9">
            <v>14</v>
          </cell>
          <cell r="K9">
            <v>14</v>
          </cell>
          <cell r="L9">
            <v>14</v>
          </cell>
          <cell r="M9">
            <v>14</v>
          </cell>
          <cell r="N9">
            <v>14</v>
          </cell>
          <cell r="O9">
            <v>14</v>
          </cell>
          <cell r="P9">
            <v>14</v>
          </cell>
          <cell r="T9">
            <v>6</v>
          </cell>
          <cell r="U9" t="str">
            <v>Total customers</v>
          </cell>
          <cell r="V9">
            <v>14</v>
          </cell>
          <cell r="W9">
            <v>171</v>
          </cell>
          <cell r="X9">
            <v>14</v>
          </cell>
          <cell r="Y9">
            <v>13</v>
          </cell>
          <cell r="Z9">
            <v>14</v>
          </cell>
          <cell r="AA9">
            <v>13</v>
          </cell>
          <cell r="AB9">
            <v>13</v>
          </cell>
          <cell r="AC9">
            <v>15</v>
          </cell>
          <cell r="AD9">
            <v>15</v>
          </cell>
          <cell r="AE9">
            <v>15</v>
          </cell>
          <cell r="AF9">
            <v>15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(2018)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- 2017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44922738.769770481</v>
          </cell>
          <cell r="E14">
            <v>5465304.3183368333</v>
          </cell>
          <cell r="F14">
            <v>4890390.4621680016</v>
          </cell>
          <cell r="G14">
            <v>5632944.0114044826</v>
          </cell>
          <cell r="H14">
            <v>3688914.9341855384</v>
          </cell>
          <cell r="I14">
            <v>2345492.2265879367</v>
          </cell>
          <cell r="J14">
            <v>2586656.9520618673</v>
          </cell>
          <cell r="K14">
            <v>2508861.3601833885</v>
          </cell>
          <cell r="L14">
            <v>3123365.0476098135</v>
          </cell>
          <cell r="M14">
            <v>2938916.7475621263</v>
          </cell>
          <cell r="N14">
            <v>3613227.2812916972</v>
          </cell>
          <cell r="O14">
            <v>4095561.5833313335</v>
          </cell>
          <cell r="P14">
            <v>4033103.8450474641</v>
          </cell>
          <cell r="T14">
            <v>11</v>
          </cell>
          <cell r="U14" t="str">
            <v>Transportation firm</v>
          </cell>
          <cell r="X14">
            <v>5122614</v>
          </cell>
          <cell r="Y14">
            <v>4447121</v>
          </cell>
          <cell r="Z14">
            <v>4925992</v>
          </cell>
          <cell r="AA14">
            <v>2823107</v>
          </cell>
          <cell r="AB14">
            <v>3886464</v>
          </cell>
          <cell r="AC14">
            <v>3825043</v>
          </cell>
          <cell r="AD14">
            <v>3904214</v>
          </cell>
          <cell r="AE14">
            <v>4010738</v>
          </cell>
          <cell r="AF14">
            <v>4091180</v>
          </cell>
          <cell r="AG14">
            <v>4085739</v>
          </cell>
          <cell r="AH14">
            <v>3880900</v>
          </cell>
          <cell r="AI14">
            <v>5293304</v>
          </cell>
        </row>
        <row r="15">
          <cell r="A15">
            <v>12</v>
          </cell>
          <cell r="B15" t="str">
            <v>Interruptible transportation</v>
          </cell>
          <cell r="D15">
            <v>854651.74693211238</v>
          </cell>
          <cell r="E15">
            <v>95131.63058844152</v>
          </cell>
          <cell r="F15">
            <v>47020.861617301176</v>
          </cell>
          <cell r="G15">
            <v>58065.785978677748</v>
          </cell>
          <cell r="H15">
            <v>78652.213445255635</v>
          </cell>
          <cell r="I15">
            <v>17881.101464341853</v>
          </cell>
          <cell r="J15">
            <v>22675.379213805445</v>
          </cell>
          <cell r="K15">
            <v>66708.954738368862</v>
          </cell>
          <cell r="L15">
            <v>191463.54458158178</v>
          </cell>
          <cell r="M15">
            <v>81746.537770042443</v>
          </cell>
          <cell r="N15">
            <v>77438.562491107863</v>
          </cell>
          <cell r="O15">
            <v>88896.036870784228</v>
          </cell>
          <cell r="P15">
            <v>28971.138172403877</v>
          </cell>
          <cell r="T15">
            <v>12</v>
          </cell>
          <cell r="U15" t="str">
            <v>Interruptible transporation</v>
          </cell>
          <cell r="X15">
            <v>142031</v>
          </cell>
          <cell r="Y15">
            <v>66447</v>
          </cell>
          <cell r="Z15">
            <v>25037</v>
          </cell>
          <cell r="AA15">
            <v>26041</v>
          </cell>
          <cell r="AB15">
            <v>72552</v>
          </cell>
          <cell r="AC15">
            <v>81262</v>
          </cell>
          <cell r="AD15">
            <v>90847</v>
          </cell>
          <cell r="AE15">
            <v>136911</v>
          </cell>
          <cell r="AF15">
            <v>465001</v>
          </cell>
          <cell r="AG15">
            <v>96565</v>
          </cell>
          <cell r="AH15">
            <v>49723</v>
          </cell>
          <cell r="AI15">
            <v>91903</v>
          </cell>
        </row>
        <row r="16">
          <cell r="A16">
            <v>13</v>
          </cell>
          <cell r="B16" t="str">
            <v>Less: ESNG to DE, MD &amp; SP</v>
          </cell>
          <cell r="D16">
            <v>-12616392.034001116</v>
          </cell>
          <cell r="E16">
            <v>-1934871.5320512578</v>
          </cell>
          <cell r="F16">
            <v>-1320279.365929212</v>
          </cell>
          <cell r="G16">
            <v>-1606246.2856127331</v>
          </cell>
          <cell r="H16">
            <v>-1043595.6064866855</v>
          </cell>
          <cell r="I16">
            <v>-633409.12861637969</v>
          </cell>
          <cell r="J16">
            <v>-585996.24419609725</v>
          </cell>
          <cell r="K16">
            <v>-570124.52976046968</v>
          </cell>
          <cell r="L16">
            <v>-587994.39760314173</v>
          </cell>
          <cell r="M16">
            <v>-610204.50755247672</v>
          </cell>
          <cell r="N16">
            <v>-857409.41548329045</v>
          </cell>
          <cell r="O16">
            <v>-1310609.4721428743</v>
          </cell>
          <cell r="P16">
            <v>-1555651.5485664974</v>
          </cell>
          <cell r="T16">
            <v>13</v>
          </cell>
          <cell r="U16" t="str">
            <v>Less: ESNG to DE, MD and SP</v>
          </cell>
          <cell r="X16">
            <v>-1569792</v>
          </cell>
          <cell r="Y16">
            <v>-1205900</v>
          </cell>
          <cell r="Z16">
            <v>-1391398</v>
          </cell>
          <cell r="AA16">
            <v>-720462</v>
          </cell>
          <cell r="AB16">
            <v>-662446</v>
          </cell>
          <cell r="AC16">
            <v>-554613</v>
          </cell>
          <cell r="AD16">
            <v>-516867</v>
          </cell>
          <cell r="AE16">
            <v>-580117</v>
          </cell>
          <cell r="AF16">
            <v>-612571</v>
          </cell>
          <cell r="AG16">
            <v>-721278</v>
          </cell>
          <cell r="AH16">
            <v>-1128586</v>
          </cell>
          <cell r="AI16">
            <v>-1709322</v>
          </cell>
        </row>
        <row r="17">
          <cell r="A17">
            <v>14</v>
          </cell>
          <cell r="B17" t="str">
            <v>Total Deliveries</v>
          </cell>
          <cell r="D17">
            <v>33160998.482701477</v>
          </cell>
          <cell r="E17">
            <v>3625564.4168740166</v>
          </cell>
          <cell r="F17">
            <v>3617131.9578560912</v>
          </cell>
          <cell r="G17">
            <v>4084763.5117704272</v>
          </cell>
          <cell r="H17">
            <v>2723971.5411441084</v>
          </cell>
          <cell r="I17">
            <v>1729964.199435899</v>
          </cell>
          <cell r="J17">
            <v>2023336.0870795753</v>
          </cell>
          <cell r="K17">
            <v>2005445.7851612875</v>
          </cell>
          <cell r="L17">
            <v>2726834.1945882537</v>
          </cell>
          <cell r="M17">
            <v>2410458.7777796923</v>
          </cell>
          <cell r="N17">
            <v>2833256.4282995146</v>
          </cell>
          <cell r="O17">
            <v>2873848.1480592433</v>
          </cell>
          <cell r="P17">
            <v>2506423.4346533706</v>
          </cell>
          <cell r="T17">
            <v>14</v>
          </cell>
          <cell r="U17" t="str">
            <v>Total Deliveries</v>
          </cell>
          <cell r="X17">
            <v>3694853</v>
          </cell>
          <cell r="Y17">
            <v>3307668</v>
          </cell>
          <cell r="Z17">
            <v>3559631</v>
          </cell>
          <cell r="AA17">
            <v>2128686</v>
          </cell>
          <cell r="AB17">
            <v>3296570</v>
          </cell>
          <cell r="AC17">
            <v>3351692</v>
          </cell>
          <cell r="AD17">
            <v>3478194</v>
          </cell>
          <cell r="AE17">
            <v>3567532</v>
          </cell>
          <cell r="AF17">
            <v>3943610</v>
          </cell>
          <cell r="AG17">
            <v>3461026</v>
          </cell>
          <cell r="AH17">
            <v>2802037</v>
          </cell>
          <cell r="AI17">
            <v>3675885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1.0497559999999999</v>
          </cell>
          <cell r="F20">
            <v>1.0459400000000001</v>
          </cell>
          <cell r="G20">
            <v>1.0466059999999999</v>
          </cell>
          <cell r="H20">
            <v>1.0426280000000001</v>
          </cell>
          <cell r="I20">
            <v>1.042721</v>
          </cell>
          <cell r="J20">
            <v>1.0458480000000001</v>
          </cell>
          <cell r="K20">
            <v>1.045212</v>
          </cell>
          <cell r="L20">
            <v>1.0416970000000001</v>
          </cell>
          <cell r="M20">
            <v>1.0445580000000001</v>
          </cell>
          <cell r="N20">
            <v>1.0402439999999999</v>
          </cell>
          <cell r="O20">
            <v>1.0414749999999999</v>
          </cell>
          <cell r="P20">
            <v>1.0428999999999999</v>
          </cell>
          <cell r="T20">
            <v>17</v>
          </cell>
          <cell r="X20">
            <v>1.05027</v>
          </cell>
          <cell r="Y20">
            <v>1.04891</v>
          </cell>
          <cell r="Z20">
            <v>1.04809</v>
          </cell>
          <cell r="AA20">
            <v>1.0459099999999999</v>
          </cell>
          <cell r="AB20">
            <v>1.0445599999999999</v>
          </cell>
          <cell r="AC20">
            <v>1.0474600000000001</v>
          </cell>
          <cell r="AD20">
            <v>1.04823</v>
          </cell>
          <cell r="AE20">
            <v>1.04386</v>
          </cell>
          <cell r="AF20">
            <v>1.04697</v>
          </cell>
          <cell r="AG20">
            <v>1.04914</v>
          </cell>
          <cell r="AH20">
            <v>1.0493600000000001</v>
          </cell>
          <cell r="AI20">
            <v>1.05077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46920822</v>
          </cell>
          <cell r="E22">
            <v>5737236</v>
          </cell>
          <cell r="F22">
            <v>5115055</v>
          </cell>
          <cell r="G22">
            <v>5895473</v>
          </cell>
          <cell r="H22">
            <v>3846166</v>
          </cell>
          <cell r="I22">
            <v>2445694</v>
          </cell>
          <cell r="J22">
            <v>2705250</v>
          </cell>
          <cell r="K22">
            <v>2622292</v>
          </cell>
          <cell r="L22">
            <v>3253600</v>
          </cell>
          <cell r="M22">
            <v>3069869</v>
          </cell>
          <cell r="N22">
            <v>3758638</v>
          </cell>
          <cell r="O22">
            <v>4265425</v>
          </cell>
          <cell r="P22">
            <v>4206124</v>
          </cell>
          <cell r="T22">
            <v>19</v>
          </cell>
          <cell r="U22" t="str">
            <v>Transportation firm</v>
          </cell>
          <cell r="X22">
            <v>5380127.8057800001</v>
          </cell>
          <cell r="Y22">
            <v>4664629.6881100005</v>
          </cell>
          <cell r="Z22">
            <v>5162882.9552799994</v>
          </cell>
          <cell r="AA22">
            <v>2952715.8423699997</v>
          </cell>
          <cell r="AB22">
            <v>4059644.8358399998</v>
          </cell>
          <cell r="AC22">
            <v>4006579.5407800004</v>
          </cell>
          <cell r="AD22">
            <v>4092514.2412200002</v>
          </cell>
          <cell r="AE22">
            <v>4186648.9686799999</v>
          </cell>
          <cell r="AF22">
            <v>4283342.7245999994</v>
          </cell>
          <cell r="AG22">
            <v>4286512.2144599995</v>
          </cell>
          <cell r="AH22">
            <v>4072461.2240000004</v>
          </cell>
          <cell r="AI22">
            <v>5562045.0440799994</v>
          </cell>
        </row>
        <row r="23">
          <cell r="A23">
            <v>20</v>
          </cell>
          <cell r="B23" t="str">
            <v>Interruptible transportation</v>
          </cell>
          <cell r="D23">
            <v>892096</v>
          </cell>
          <cell r="E23">
            <v>99865</v>
          </cell>
          <cell r="F23">
            <v>49181</v>
          </cell>
          <cell r="G23">
            <v>60772</v>
          </cell>
          <cell r="H23">
            <v>82005</v>
          </cell>
          <cell r="I23">
            <v>18645</v>
          </cell>
          <cell r="J23">
            <v>23715</v>
          </cell>
          <cell r="K23">
            <v>69725</v>
          </cell>
          <cell r="L23">
            <v>199447</v>
          </cell>
          <cell r="M23">
            <v>85389</v>
          </cell>
          <cell r="N23">
            <v>80555</v>
          </cell>
          <cell r="O23">
            <v>92583</v>
          </cell>
          <cell r="P23">
            <v>30214</v>
          </cell>
          <cell r="T23">
            <v>20</v>
          </cell>
          <cell r="U23" t="str">
            <v>Interruptible transportation</v>
          </cell>
          <cell r="X23">
            <v>149170.89837000001</v>
          </cell>
          <cell r="Y23">
            <v>69696.922770000005</v>
          </cell>
          <cell r="Z23">
            <v>26241.029329999998</v>
          </cell>
          <cell r="AA23">
            <v>27236.542309999997</v>
          </cell>
          <cell r="AB23">
            <v>75784.917119999998</v>
          </cell>
          <cell r="AC23">
            <v>85118.694520000005</v>
          </cell>
          <cell r="AD23">
            <v>95228.550810000001</v>
          </cell>
          <cell r="AE23">
            <v>142915.91646000001</v>
          </cell>
          <cell r="AF23">
            <v>486842.09696999996</v>
          </cell>
          <cell r="AG23">
            <v>101310.2041</v>
          </cell>
          <cell r="AH23">
            <v>52177.327280000005</v>
          </cell>
          <cell r="AI23">
            <v>96568.915309999997</v>
          </cell>
        </row>
        <row r="24">
          <cell r="A24">
            <v>21</v>
          </cell>
          <cell r="B24" t="str">
            <v>Less: ESNG to DE, MD &amp; SP</v>
          </cell>
          <cell r="D24">
            <v>-13179675</v>
          </cell>
          <cell r="E24">
            <v>-2031143</v>
          </cell>
          <cell r="F24">
            <v>-1380933</v>
          </cell>
          <cell r="G24">
            <v>-1681107</v>
          </cell>
          <cell r="H24">
            <v>-1088082</v>
          </cell>
          <cell r="I24">
            <v>-660469</v>
          </cell>
          <cell r="J24">
            <v>-612863</v>
          </cell>
          <cell r="K24">
            <v>-595901</v>
          </cell>
          <cell r="L24">
            <v>-612512</v>
          </cell>
          <cell r="M24">
            <v>-637394</v>
          </cell>
          <cell r="N24">
            <v>-891915</v>
          </cell>
          <cell r="O24">
            <v>-1364967</v>
          </cell>
          <cell r="P24">
            <v>-1622389</v>
          </cell>
          <cell r="T24">
            <v>21</v>
          </cell>
          <cell r="U24" t="str">
            <v>Less: ESNG to DE, MD and SP</v>
          </cell>
          <cell r="X24">
            <v>-1648705.4438400001</v>
          </cell>
          <cell r="Y24">
            <v>-1264880.5689999999</v>
          </cell>
          <cell r="Z24">
            <v>-1458310.3298199999</v>
          </cell>
          <cell r="AA24">
            <v>-753538.41041999997</v>
          </cell>
          <cell r="AB24">
            <v>-691964.59375999996</v>
          </cell>
          <cell r="AC24">
            <v>-580934.93298000004</v>
          </cell>
          <cell r="AD24">
            <v>-541795.49540999997</v>
          </cell>
          <cell r="AE24">
            <v>-605560.93162000005</v>
          </cell>
          <cell r="AF24">
            <v>-641343.45987000002</v>
          </cell>
          <cell r="AG24">
            <v>-756721.60092</v>
          </cell>
          <cell r="AH24">
            <v>-1184293.00496</v>
          </cell>
          <cell r="AI24">
            <v>-1796104.2779399999</v>
          </cell>
        </row>
        <row r="25">
          <cell r="A25">
            <v>22</v>
          </cell>
          <cell r="B25" t="str">
            <v>Total Deliveries</v>
          </cell>
          <cell r="D25">
            <v>34633243</v>
          </cell>
          <cell r="E25">
            <v>3805958</v>
          </cell>
          <cell r="F25">
            <v>3783303</v>
          </cell>
          <cell r="G25">
            <v>4275138</v>
          </cell>
          <cell r="H25">
            <v>2840089</v>
          </cell>
          <cell r="I25">
            <v>1803870</v>
          </cell>
          <cell r="J25">
            <v>2116102</v>
          </cell>
          <cell r="K25">
            <v>2096116</v>
          </cell>
          <cell r="L25">
            <v>2840535</v>
          </cell>
          <cell r="M25">
            <v>2517864</v>
          </cell>
          <cell r="N25">
            <v>2947278</v>
          </cell>
          <cell r="O25">
            <v>2993041</v>
          </cell>
          <cell r="P25">
            <v>2613949</v>
          </cell>
          <cell r="T25">
            <v>22</v>
          </cell>
          <cell r="U25" t="str">
            <v>Total Deliveries</v>
          </cell>
          <cell r="X25">
            <v>3880593.2603099998</v>
          </cell>
          <cell r="Y25">
            <v>3469446.0418800004</v>
          </cell>
          <cell r="Z25">
            <v>3730813.6547900001</v>
          </cell>
          <cell r="AA25">
            <v>2226413.9742599996</v>
          </cell>
          <cell r="AB25">
            <v>3443465.1591999996</v>
          </cell>
          <cell r="AC25">
            <v>3510763.3023200002</v>
          </cell>
          <cell r="AD25">
            <v>3645947.2966200002</v>
          </cell>
          <cell r="AE25">
            <v>3724003.95352</v>
          </cell>
          <cell r="AF25">
            <v>4128841.3616999998</v>
          </cell>
          <cell r="AG25">
            <v>3631100.8176399991</v>
          </cell>
          <cell r="AH25">
            <v>2940345.5463200002</v>
          </cell>
          <cell r="AI25">
            <v>3862509.6814499996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62190514.009661831</v>
          </cell>
          <cell r="E29">
            <v>5297319.8067632858</v>
          </cell>
          <cell r="F29">
            <v>4803471.4975845413</v>
          </cell>
          <cell r="G29">
            <v>6047312.0772946868</v>
          </cell>
          <cell r="H29">
            <v>4215509.1787439613</v>
          </cell>
          <cell r="I29">
            <v>5475304.3478260869</v>
          </cell>
          <cell r="J29">
            <v>4696476.3285024157</v>
          </cell>
          <cell r="K29">
            <v>5151584.5410628021</v>
          </cell>
          <cell r="L29">
            <v>5452658.937198068</v>
          </cell>
          <cell r="M29">
            <v>5025822.2222222229</v>
          </cell>
          <cell r="N29">
            <v>5223084.0579710146</v>
          </cell>
          <cell r="O29">
            <v>4664700.4830917874</v>
          </cell>
          <cell r="P29">
            <v>6137270.5314009665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-12414835.748792272</v>
          </cell>
          <cell r="E30">
            <v>-1674839.6135265701</v>
          </cell>
          <cell r="F30">
            <v>-1301466.6666666667</v>
          </cell>
          <cell r="G30">
            <v>-1494527.5362318843</v>
          </cell>
          <cell r="H30">
            <v>-813378.74396135274</v>
          </cell>
          <cell r="I30">
            <v>-656681.15942028991</v>
          </cell>
          <cell r="J30">
            <v>-562522.70531400968</v>
          </cell>
          <cell r="K30">
            <v>-524480.19323671504</v>
          </cell>
          <cell r="L30">
            <v>-730763.2850241547</v>
          </cell>
          <cell r="M30">
            <v>-750591.30434782617</v>
          </cell>
          <cell r="N30">
            <v>-949766.18357487931</v>
          </cell>
          <cell r="O30">
            <v>-1235871.4975845411</v>
          </cell>
          <cell r="P30">
            <v>-1719946.8599033817</v>
          </cell>
          <cell r="T30">
            <v>27</v>
          </cell>
        </row>
        <row r="31">
          <cell r="A31">
            <v>28</v>
          </cell>
          <cell r="D31">
            <v>49775678.260869563</v>
          </cell>
          <cell r="E31">
            <v>3622480.1932367156</v>
          </cell>
          <cell r="F31">
            <v>3502004.8309178744</v>
          </cell>
          <cell r="G31">
            <v>4552784.5410628021</v>
          </cell>
          <cell r="H31">
            <v>3402130.4347826084</v>
          </cell>
          <cell r="I31">
            <v>4818623.1884057969</v>
          </cell>
          <cell r="J31">
            <v>4133953.6231884062</v>
          </cell>
          <cell r="K31">
            <v>4627104.3478260869</v>
          </cell>
          <cell r="L31">
            <v>4721895.6521739131</v>
          </cell>
          <cell r="M31">
            <v>4275230.9178743968</v>
          </cell>
          <cell r="N31">
            <v>4273317.8743961351</v>
          </cell>
          <cell r="O31">
            <v>3428828.9855072461</v>
          </cell>
          <cell r="P31">
            <v>4417323.6714975853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C33">
            <v>1.0349999999999999</v>
          </cell>
          <cell r="D33">
            <v>64367181.999999993</v>
          </cell>
          <cell r="E33">
            <v>5482726</v>
          </cell>
          <cell r="F33">
            <v>4971593</v>
          </cell>
          <cell r="G33">
            <v>6258968</v>
          </cell>
          <cell r="H33">
            <v>4363052</v>
          </cell>
          <cell r="I33">
            <v>5666940</v>
          </cell>
          <cell r="J33">
            <v>4860853</v>
          </cell>
          <cell r="K33">
            <v>5331890</v>
          </cell>
          <cell r="L33">
            <v>5643502</v>
          </cell>
          <cell r="M33">
            <v>5201726</v>
          </cell>
          <cell r="N33">
            <v>5405892</v>
          </cell>
          <cell r="O33">
            <v>4827965</v>
          </cell>
          <cell r="P33">
            <v>6352075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-12849355</v>
          </cell>
          <cell r="E34">
            <v>-1733459</v>
          </cell>
          <cell r="F34">
            <v>-1347018</v>
          </cell>
          <cell r="G34">
            <v>-1546836</v>
          </cell>
          <cell r="H34">
            <v>-841847</v>
          </cell>
          <cell r="I34">
            <v>-679665</v>
          </cell>
          <cell r="J34">
            <v>-582211</v>
          </cell>
          <cell r="K34">
            <v>-542837</v>
          </cell>
          <cell r="L34">
            <v>-756340</v>
          </cell>
          <cell r="M34">
            <v>-776862</v>
          </cell>
          <cell r="N34">
            <v>-983008</v>
          </cell>
          <cell r="O34">
            <v>-1279127</v>
          </cell>
          <cell r="P34">
            <v>-1780145</v>
          </cell>
          <cell r="T34">
            <v>31</v>
          </cell>
        </row>
        <row r="35">
          <cell r="A35">
            <v>32</v>
          </cell>
          <cell r="D35">
            <v>51517826.999999993</v>
          </cell>
          <cell r="E35">
            <v>3749267</v>
          </cell>
          <cell r="F35">
            <v>3624575</v>
          </cell>
          <cell r="G35">
            <v>4712132</v>
          </cell>
          <cell r="H35">
            <v>3521205</v>
          </cell>
          <cell r="I35">
            <v>4987275</v>
          </cell>
          <cell r="J35">
            <v>4278642</v>
          </cell>
          <cell r="K35">
            <v>4789053</v>
          </cell>
          <cell r="L35">
            <v>4887162</v>
          </cell>
          <cell r="M35">
            <v>4424864</v>
          </cell>
          <cell r="N35">
            <v>4422884</v>
          </cell>
          <cell r="O35">
            <v>3548838</v>
          </cell>
          <cell r="P35">
            <v>4571930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17</v>
          </cell>
          <cell r="F43">
            <v>17</v>
          </cell>
          <cell r="G43">
            <v>17</v>
          </cell>
          <cell r="H43">
            <v>17</v>
          </cell>
          <cell r="I43">
            <v>17</v>
          </cell>
          <cell r="J43">
            <v>17</v>
          </cell>
          <cell r="K43">
            <v>17</v>
          </cell>
          <cell r="L43">
            <v>17</v>
          </cell>
          <cell r="M43">
            <v>17</v>
          </cell>
          <cell r="N43">
            <v>17</v>
          </cell>
          <cell r="O43">
            <v>17</v>
          </cell>
          <cell r="P43">
            <v>17</v>
          </cell>
          <cell r="T43">
            <v>40</v>
          </cell>
          <cell r="U43" t="str">
            <v>Interruptible transporation</v>
          </cell>
          <cell r="X43">
            <v>17</v>
          </cell>
          <cell r="Y43">
            <v>16.5</v>
          </cell>
          <cell r="Z43">
            <v>16.666666666666668</v>
          </cell>
          <cell r="AA43">
            <v>16.5</v>
          </cell>
          <cell r="AB43">
            <v>16.399999999999999</v>
          </cell>
          <cell r="AC43">
            <v>16.666666666666668</v>
          </cell>
          <cell r="AD43">
            <v>16.857142857142858</v>
          </cell>
          <cell r="AE43">
            <v>17</v>
          </cell>
          <cell r="AF43">
            <v>17.111111111111111</v>
          </cell>
          <cell r="AG43">
            <v>17.2</v>
          </cell>
          <cell r="AH43">
            <v>17.272727272727273</v>
          </cell>
          <cell r="AI43">
            <v>17.25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14</v>
          </cell>
          <cell r="F45">
            <v>14</v>
          </cell>
          <cell r="G45">
            <v>14</v>
          </cell>
          <cell r="H45">
            <v>14</v>
          </cell>
          <cell r="I45">
            <v>14</v>
          </cell>
          <cell r="J45">
            <v>14</v>
          </cell>
          <cell r="K45">
            <v>14</v>
          </cell>
          <cell r="L45">
            <v>14</v>
          </cell>
          <cell r="M45">
            <v>14</v>
          </cell>
          <cell r="N45">
            <v>14</v>
          </cell>
          <cell r="O45">
            <v>14</v>
          </cell>
          <cell r="P45">
            <v>14</v>
          </cell>
          <cell r="T45">
            <v>42</v>
          </cell>
          <cell r="U45" t="str">
            <v>Total customers</v>
          </cell>
          <cell r="X45">
            <v>14</v>
          </cell>
          <cell r="Y45">
            <v>13.5</v>
          </cell>
          <cell r="Z45">
            <v>13.666666666666668</v>
          </cell>
          <cell r="AA45">
            <v>13.5</v>
          </cell>
          <cell r="AB45">
            <v>13.399999999999999</v>
          </cell>
          <cell r="AC45">
            <v>13.666666666666668</v>
          </cell>
          <cell r="AD45">
            <v>13.857142857142858</v>
          </cell>
          <cell r="AE45">
            <v>14</v>
          </cell>
          <cell r="AF45">
            <v>14.111111111111111</v>
          </cell>
          <cell r="AG45">
            <v>14.2</v>
          </cell>
          <cell r="AH45">
            <v>14.272727272727273</v>
          </cell>
          <cell r="AI45">
            <v>14.25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5465304.3183368333</v>
          </cell>
          <cell r="F51">
            <v>10355694.780504834</v>
          </cell>
          <cell r="G51">
            <v>15988638.791909317</v>
          </cell>
          <cell r="H51">
            <v>19677553.726094857</v>
          </cell>
          <cell r="I51">
            <v>22023045.952682793</v>
          </cell>
          <cell r="J51">
            <v>24609702.904744662</v>
          </cell>
          <cell r="K51">
            <v>27118564.26492805</v>
          </cell>
          <cell r="L51">
            <v>30241929.312537864</v>
          </cell>
          <cell r="M51">
            <v>33180846.060099989</v>
          </cell>
          <cell r="N51">
            <v>36794073.341391683</v>
          </cell>
          <cell r="O51">
            <v>40889634.924723014</v>
          </cell>
          <cell r="P51">
            <v>44922738.769770481</v>
          </cell>
          <cell r="T51">
            <v>48</v>
          </cell>
          <cell r="U51" t="str">
            <v>Transportation firm</v>
          </cell>
          <cell r="X51">
            <v>5122614</v>
          </cell>
          <cell r="Y51">
            <v>9569735</v>
          </cell>
          <cell r="Z51">
            <v>14495727</v>
          </cell>
          <cell r="AA51">
            <v>17318834</v>
          </cell>
          <cell r="AB51">
            <v>21205298</v>
          </cell>
          <cell r="AC51">
            <v>25030341</v>
          </cell>
          <cell r="AD51">
            <v>28934555</v>
          </cell>
          <cell r="AE51">
            <v>32945293</v>
          </cell>
          <cell r="AF51">
            <v>37036473</v>
          </cell>
          <cell r="AG51">
            <v>41122212</v>
          </cell>
          <cell r="AH51">
            <v>45003112</v>
          </cell>
          <cell r="AI51">
            <v>50296416</v>
          </cell>
        </row>
        <row r="52">
          <cell r="A52">
            <v>49</v>
          </cell>
          <cell r="B52" t="str">
            <v>Interruptible transportation</v>
          </cell>
          <cell r="E52">
            <v>95131.63058844152</v>
          </cell>
          <cell r="F52">
            <v>142152.49220574269</v>
          </cell>
          <cell r="G52">
            <v>200218.27818442043</v>
          </cell>
          <cell r="H52">
            <v>278870.49162967608</v>
          </cell>
          <cell r="I52">
            <v>296751.59309401794</v>
          </cell>
          <cell r="J52">
            <v>319426.97230782337</v>
          </cell>
          <cell r="K52">
            <v>386135.92704619223</v>
          </cell>
          <cell r="L52">
            <v>577599.47162777395</v>
          </cell>
          <cell r="M52">
            <v>659346.00939781638</v>
          </cell>
          <cell r="N52">
            <v>736784.57188892423</v>
          </cell>
          <cell r="O52">
            <v>825680.60875970847</v>
          </cell>
          <cell r="P52">
            <v>854651.74693211238</v>
          </cell>
          <cell r="T52">
            <v>49</v>
          </cell>
          <cell r="U52" t="str">
            <v>Interruptible transporation</v>
          </cell>
          <cell r="X52">
            <v>142031</v>
          </cell>
          <cell r="Y52">
            <v>208478</v>
          </cell>
          <cell r="Z52">
            <v>233515</v>
          </cell>
          <cell r="AA52">
            <v>259556</v>
          </cell>
          <cell r="AB52">
            <v>332108</v>
          </cell>
          <cell r="AC52">
            <v>413370</v>
          </cell>
          <cell r="AD52">
            <v>504217</v>
          </cell>
          <cell r="AE52">
            <v>641128</v>
          </cell>
          <cell r="AF52">
            <v>1106129</v>
          </cell>
          <cell r="AG52">
            <v>1202694</v>
          </cell>
          <cell r="AH52">
            <v>1252417</v>
          </cell>
          <cell r="AI52">
            <v>1344320</v>
          </cell>
        </row>
        <row r="53">
          <cell r="A53">
            <v>50</v>
          </cell>
          <cell r="B53" t="str">
            <v>Less: ESNG to DE, MD &amp; SP</v>
          </cell>
          <cell r="E53">
            <v>-1934871.5320512578</v>
          </cell>
          <cell r="F53">
            <v>-3255150.8979804697</v>
          </cell>
          <cell r="G53">
            <v>-4861397.1835932024</v>
          </cell>
          <cell r="H53">
            <v>-5904992.790079888</v>
          </cell>
          <cell r="I53">
            <v>-6538401.9186962675</v>
          </cell>
          <cell r="J53">
            <v>-7124398.1628923649</v>
          </cell>
          <cell r="K53">
            <v>-7694522.6926528346</v>
          </cell>
          <cell r="L53">
            <v>-8282517.0902559767</v>
          </cell>
          <cell r="M53">
            <v>-8892721.5978084542</v>
          </cell>
          <cell r="N53">
            <v>-9750131.0132917445</v>
          </cell>
          <cell r="O53">
            <v>-11060740.485434618</v>
          </cell>
          <cell r="P53">
            <v>-12616392.034001116</v>
          </cell>
          <cell r="T53">
            <v>50</v>
          </cell>
          <cell r="U53" t="str">
            <v>Less: ESNG to DE, MD &amp; SP</v>
          </cell>
          <cell r="X53">
            <v>-1569792</v>
          </cell>
          <cell r="Y53">
            <v>-2775692</v>
          </cell>
          <cell r="Z53">
            <v>-4167090</v>
          </cell>
          <cell r="AA53">
            <v>-4887552</v>
          </cell>
          <cell r="AB53">
            <v>-5549998</v>
          </cell>
          <cell r="AC53">
            <v>-6104611</v>
          </cell>
          <cell r="AD53">
            <v>-6621478</v>
          </cell>
          <cell r="AE53">
            <v>-7201595</v>
          </cell>
          <cell r="AF53">
            <v>-7814166</v>
          </cell>
          <cell r="AG53">
            <v>-8535444</v>
          </cell>
          <cell r="AH53">
            <v>-9664030</v>
          </cell>
          <cell r="AI53">
            <v>-11373352</v>
          </cell>
        </row>
        <row r="54">
          <cell r="A54">
            <v>51</v>
          </cell>
          <cell r="B54" t="str">
            <v>Total Deliveries</v>
          </cell>
          <cell r="E54">
            <v>3625564.4168740166</v>
          </cell>
          <cell r="F54">
            <v>7242696.3747301064</v>
          </cell>
          <cell r="G54">
            <v>11327459.886500534</v>
          </cell>
          <cell r="H54">
            <v>14051431.427644644</v>
          </cell>
          <cell r="I54">
            <v>15781395.627080543</v>
          </cell>
          <cell r="J54">
            <v>17804731.714160122</v>
          </cell>
          <cell r="K54">
            <v>19810177.499321409</v>
          </cell>
          <cell r="L54">
            <v>22537011.693909664</v>
          </cell>
          <cell r="M54">
            <v>24947470.471689355</v>
          </cell>
          <cell r="N54">
            <v>27780726.89998886</v>
          </cell>
          <cell r="O54">
            <v>30654575.048048105</v>
          </cell>
          <cell r="P54">
            <v>33160998.482701477</v>
          </cell>
          <cell r="T54">
            <v>51</v>
          </cell>
          <cell r="U54" t="str">
            <v>Total Deliveries</v>
          </cell>
          <cell r="X54">
            <v>3694853</v>
          </cell>
          <cell r="Y54">
            <v>7002521</v>
          </cell>
          <cell r="Z54">
            <v>10562152</v>
          </cell>
          <cell r="AA54">
            <v>12690838</v>
          </cell>
          <cell r="AB54">
            <v>15987408</v>
          </cell>
          <cell r="AC54">
            <v>19339100</v>
          </cell>
          <cell r="AD54">
            <v>22817294</v>
          </cell>
          <cell r="AE54">
            <v>26384826</v>
          </cell>
          <cell r="AF54">
            <v>30328436</v>
          </cell>
          <cell r="AG54">
            <v>33789462</v>
          </cell>
          <cell r="AH54">
            <v>36591499</v>
          </cell>
          <cell r="AI54">
            <v>40267384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5737236</v>
          </cell>
          <cell r="F58">
            <v>10852291</v>
          </cell>
          <cell r="G58">
            <v>16747764</v>
          </cell>
          <cell r="H58">
            <v>20593930</v>
          </cell>
          <cell r="I58">
            <v>23039624</v>
          </cell>
          <cell r="J58">
            <v>25744874</v>
          </cell>
          <cell r="K58">
            <v>28367166</v>
          </cell>
          <cell r="L58">
            <v>31620766</v>
          </cell>
          <cell r="M58">
            <v>34690635</v>
          </cell>
          <cell r="N58">
            <v>38449273</v>
          </cell>
          <cell r="O58">
            <v>42714698</v>
          </cell>
          <cell r="P58">
            <v>46920822</v>
          </cell>
          <cell r="T58">
            <v>55</v>
          </cell>
          <cell r="U58" t="str">
            <v>Transportation firm</v>
          </cell>
          <cell r="X58">
            <v>5380127.8057800001</v>
          </cell>
          <cell r="Y58">
            <v>10044757.493890001</v>
          </cell>
          <cell r="Z58">
            <v>15207640.449170001</v>
          </cell>
          <cell r="AA58">
            <v>18160356.291540001</v>
          </cell>
          <cell r="AB58">
            <v>22220001.127379999</v>
          </cell>
          <cell r="AC58">
            <v>26226580.668159999</v>
          </cell>
          <cell r="AD58">
            <v>30319094.90938</v>
          </cell>
          <cell r="AE58">
            <v>34505743.878059998</v>
          </cell>
          <cell r="AF58">
            <v>38789086.60266</v>
          </cell>
          <cell r="AG58">
            <v>43075598.817120001</v>
          </cell>
          <cell r="AH58">
            <v>47148060.04112</v>
          </cell>
          <cell r="AI58">
            <v>52710105.085199997</v>
          </cell>
        </row>
        <row r="59">
          <cell r="A59">
            <v>56</v>
          </cell>
          <cell r="B59" t="str">
            <v>Interruptible transportation</v>
          </cell>
          <cell r="E59">
            <v>99865</v>
          </cell>
          <cell r="F59">
            <v>149046</v>
          </cell>
          <cell r="G59">
            <v>209818</v>
          </cell>
          <cell r="H59">
            <v>291823</v>
          </cell>
          <cell r="I59">
            <v>310468</v>
          </cell>
          <cell r="J59">
            <v>334183</v>
          </cell>
          <cell r="K59">
            <v>403908</v>
          </cell>
          <cell r="L59">
            <v>603355</v>
          </cell>
          <cell r="M59">
            <v>688744</v>
          </cell>
          <cell r="N59">
            <v>769299</v>
          </cell>
          <cell r="O59">
            <v>861882</v>
          </cell>
          <cell r="P59">
            <v>892096</v>
          </cell>
        </row>
        <row r="60">
          <cell r="A60">
            <v>57</v>
          </cell>
          <cell r="B60" t="str">
            <v>Less: ESNG to DE, MD &amp; SP</v>
          </cell>
          <cell r="E60">
            <v>-2031143</v>
          </cell>
          <cell r="F60">
            <v>-3412076</v>
          </cell>
          <cell r="G60">
            <v>-5093183</v>
          </cell>
          <cell r="H60">
            <v>-6181265</v>
          </cell>
          <cell r="I60">
            <v>-6841734</v>
          </cell>
          <cell r="J60">
            <v>-7454597</v>
          </cell>
          <cell r="K60">
            <v>-8050498</v>
          </cell>
          <cell r="L60">
            <v>-8663010</v>
          </cell>
          <cell r="M60">
            <v>-9300404</v>
          </cell>
          <cell r="N60">
            <v>-10192319</v>
          </cell>
          <cell r="O60">
            <v>-11557286</v>
          </cell>
          <cell r="P60">
            <v>-13179675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3805958</v>
          </cell>
          <cell r="F61">
            <v>7589261</v>
          </cell>
          <cell r="G61">
            <v>11864399</v>
          </cell>
          <cell r="H61">
            <v>14704488</v>
          </cell>
          <cell r="I61">
            <v>16508358</v>
          </cell>
          <cell r="J61">
            <v>18624460</v>
          </cell>
          <cell r="K61">
            <v>20720576</v>
          </cell>
          <cell r="L61">
            <v>23561111</v>
          </cell>
          <cell r="M61">
            <v>26078975</v>
          </cell>
          <cell r="N61">
            <v>29026253</v>
          </cell>
          <cell r="O61">
            <v>32019294</v>
          </cell>
          <cell r="P61">
            <v>34633243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5297319.8067632858</v>
          </cell>
          <cell r="F66">
            <v>10100791.304347828</v>
          </cell>
          <cell r="G66">
            <v>16148103.381642515</v>
          </cell>
          <cell r="H66">
            <v>20363612.560386475</v>
          </cell>
          <cell r="I66">
            <v>25838916.908212561</v>
          </cell>
          <cell r="J66">
            <v>30535393.236714978</v>
          </cell>
          <cell r="K66">
            <v>35686977.777777776</v>
          </cell>
          <cell r="L66">
            <v>41139636.714975841</v>
          </cell>
          <cell r="M66">
            <v>46165458.937198065</v>
          </cell>
          <cell r="N66">
            <v>51388542.995169081</v>
          </cell>
          <cell r="O66">
            <v>56053243.478260867</v>
          </cell>
          <cell r="P66">
            <v>62190514.009661831</v>
          </cell>
        </row>
        <row r="67">
          <cell r="A67">
            <v>64</v>
          </cell>
          <cell r="B67" t="str">
            <v>Less Sales to DE/MD/SP</v>
          </cell>
          <cell r="E67">
            <v>-1674839.6135265701</v>
          </cell>
          <cell r="F67">
            <v>-2976306.2801932367</v>
          </cell>
          <cell r="G67">
            <v>-4470833.8164251205</v>
          </cell>
          <cell r="H67">
            <v>-5284212.5603864733</v>
          </cell>
          <cell r="I67">
            <v>-5940893.7198067633</v>
          </cell>
          <cell r="J67">
            <v>-6503416.4251207728</v>
          </cell>
          <cell r="K67">
            <v>-7027896.618357488</v>
          </cell>
          <cell r="L67">
            <v>-7758659.9033816429</v>
          </cell>
          <cell r="M67">
            <v>-8509251.20772947</v>
          </cell>
          <cell r="N67">
            <v>-9459017.3913043495</v>
          </cell>
          <cell r="O67">
            <v>-10694888.88888889</v>
          </cell>
          <cell r="P67">
            <v>-12414835.748792272</v>
          </cell>
        </row>
        <row r="68">
          <cell r="A68">
            <v>65</v>
          </cell>
          <cell r="E68">
            <v>3622480.1932367156</v>
          </cell>
          <cell r="F68">
            <v>7124485.0241545914</v>
          </cell>
          <cell r="G68">
            <v>11677269.565217394</v>
          </cell>
          <cell r="H68">
            <v>15079400.000000002</v>
          </cell>
          <cell r="I68">
            <v>19898023.188405797</v>
          </cell>
          <cell r="J68">
            <v>24031976.811594203</v>
          </cell>
          <cell r="K68">
            <v>28659081.159420289</v>
          </cell>
          <cell r="L68">
            <v>33380976.811594199</v>
          </cell>
          <cell r="M68">
            <v>37656207.729468599</v>
          </cell>
          <cell r="N68">
            <v>41929525.603864729</v>
          </cell>
          <cell r="O68">
            <v>45358354.589371979</v>
          </cell>
          <cell r="P68">
            <v>49775678.260869563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5482726</v>
          </cell>
          <cell r="F70">
            <v>10454319</v>
          </cell>
          <cell r="G70">
            <v>16713287</v>
          </cell>
          <cell r="H70">
            <v>21076339</v>
          </cell>
          <cell r="I70">
            <v>26743279</v>
          </cell>
          <cell r="J70">
            <v>31604132</v>
          </cell>
          <cell r="K70">
            <v>36936022</v>
          </cell>
          <cell r="L70">
            <v>42579524</v>
          </cell>
          <cell r="M70">
            <v>47781250</v>
          </cell>
          <cell r="N70">
            <v>53187142</v>
          </cell>
          <cell r="O70">
            <v>58015107</v>
          </cell>
          <cell r="P70">
            <v>64367182</v>
          </cell>
        </row>
        <row r="71">
          <cell r="A71">
            <v>68</v>
          </cell>
          <cell r="B71" t="str">
            <v>Less Sales to DE/MD/SP</v>
          </cell>
          <cell r="E71">
            <v>-1733459</v>
          </cell>
          <cell r="F71">
            <v>-3080477</v>
          </cell>
          <cell r="G71">
            <v>-4627313</v>
          </cell>
          <cell r="H71">
            <v>-5469160</v>
          </cell>
          <cell r="I71">
            <v>-6148825</v>
          </cell>
          <cell r="J71">
            <v>-6731036</v>
          </cell>
          <cell r="K71">
            <v>-7273873</v>
          </cell>
          <cell r="L71">
            <v>-8030213</v>
          </cell>
          <cell r="M71">
            <v>-8807075</v>
          </cell>
          <cell r="N71">
            <v>-9790083</v>
          </cell>
          <cell r="O71">
            <v>-11069210</v>
          </cell>
          <cell r="P71">
            <v>-12849355</v>
          </cell>
        </row>
      </sheetData>
      <sheetData sheetId="16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24564</v>
          </cell>
          <cell r="F5">
            <v>24619</v>
          </cell>
          <cell r="G5">
            <v>24749</v>
          </cell>
          <cell r="H5">
            <v>24669</v>
          </cell>
          <cell r="I5">
            <v>24650</v>
          </cell>
          <cell r="J5">
            <v>24823</v>
          </cell>
          <cell r="K5">
            <v>24833</v>
          </cell>
          <cell r="L5">
            <v>24799</v>
          </cell>
          <cell r="M5">
            <v>24801</v>
          </cell>
          <cell r="N5">
            <v>24561</v>
          </cell>
          <cell r="O5">
            <v>24587</v>
          </cell>
          <cell r="P5">
            <v>24571</v>
          </cell>
          <cell r="T5">
            <v>2</v>
          </cell>
          <cell r="U5" t="str">
            <v>Residential</v>
          </cell>
          <cell r="X5">
            <v>24372</v>
          </cell>
          <cell r="Y5">
            <v>24421</v>
          </cell>
          <cell r="Z5">
            <v>24519</v>
          </cell>
          <cell r="AA5">
            <v>24560</v>
          </cell>
          <cell r="AB5">
            <v>24597</v>
          </cell>
          <cell r="AC5">
            <v>24588</v>
          </cell>
          <cell r="AD5">
            <v>24556</v>
          </cell>
          <cell r="AE5">
            <v>24643</v>
          </cell>
          <cell r="AF5">
            <v>24685</v>
          </cell>
          <cell r="AG5">
            <v>24678</v>
          </cell>
          <cell r="AH5">
            <v>24633</v>
          </cell>
          <cell r="AI5">
            <v>24634</v>
          </cell>
        </row>
        <row r="6">
          <cell r="E6">
            <v>7472</v>
          </cell>
          <cell r="F6">
            <v>7477</v>
          </cell>
          <cell r="G6">
            <v>7495</v>
          </cell>
          <cell r="H6">
            <v>7494</v>
          </cell>
          <cell r="I6">
            <v>7478</v>
          </cell>
          <cell r="J6">
            <v>7506</v>
          </cell>
          <cell r="K6">
            <v>7507</v>
          </cell>
          <cell r="L6">
            <v>7511</v>
          </cell>
          <cell r="M6">
            <v>7504</v>
          </cell>
          <cell r="N6">
            <v>7502</v>
          </cell>
          <cell r="O6">
            <v>7507</v>
          </cell>
          <cell r="P6">
            <v>7514</v>
          </cell>
          <cell r="T6">
            <v>3</v>
          </cell>
          <cell r="U6" t="str">
            <v>Commercial</v>
          </cell>
          <cell r="X6">
            <v>7441</v>
          </cell>
          <cell r="Y6">
            <v>7454</v>
          </cell>
          <cell r="Z6">
            <v>7443</v>
          </cell>
          <cell r="AA6">
            <v>7419</v>
          </cell>
          <cell r="AB6">
            <v>7431</v>
          </cell>
          <cell r="AC6">
            <v>7437</v>
          </cell>
          <cell r="AD6">
            <v>7437</v>
          </cell>
          <cell r="AE6">
            <v>7461</v>
          </cell>
          <cell r="AF6">
            <v>7467</v>
          </cell>
          <cell r="AG6">
            <v>7462</v>
          </cell>
          <cell r="AH6">
            <v>7478</v>
          </cell>
          <cell r="AI6">
            <v>7465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32038</v>
          </cell>
          <cell r="F9">
            <v>32098</v>
          </cell>
          <cell r="G9">
            <v>32246</v>
          </cell>
          <cell r="H9">
            <v>32165</v>
          </cell>
          <cell r="I9">
            <v>32130</v>
          </cell>
          <cell r="J9">
            <v>32331</v>
          </cell>
          <cell r="K9">
            <v>32342</v>
          </cell>
          <cell r="L9">
            <v>32312</v>
          </cell>
          <cell r="M9">
            <v>32307</v>
          </cell>
          <cell r="N9">
            <v>32065</v>
          </cell>
          <cell r="O9">
            <v>32096</v>
          </cell>
          <cell r="P9">
            <v>32087</v>
          </cell>
          <cell r="T9">
            <v>6</v>
          </cell>
          <cell r="U9" t="str">
            <v>Total customers</v>
          </cell>
          <cell r="X9">
            <v>31529</v>
          </cell>
          <cell r="Y9">
            <v>31560</v>
          </cell>
          <cell r="Z9">
            <v>31576</v>
          </cell>
          <cell r="AA9">
            <v>31593</v>
          </cell>
          <cell r="AB9">
            <v>31715</v>
          </cell>
          <cell r="AC9">
            <v>31732</v>
          </cell>
          <cell r="AD9">
            <v>31773</v>
          </cell>
          <cell r="AE9">
            <v>31762</v>
          </cell>
          <cell r="AF9">
            <v>31778</v>
          </cell>
          <cell r="AG9">
            <v>31755</v>
          </cell>
          <cell r="AH9">
            <v>31790</v>
          </cell>
          <cell r="AI9">
            <v>31775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35752.544000000002</v>
          </cell>
          <cell r="F12">
            <v>24919.059000000001</v>
          </cell>
          <cell r="G12">
            <v>17856.425999999999</v>
          </cell>
          <cell r="H12">
            <v>19184.017</v>
          </cell>
          <cell r="I12">
            <v>19354.330000000002</v>
          </cell>
          <cell r="J12">
            <v>28144</v>
          </cell>
          <cell r="K12">
            <v>32734.905999999999</v>
          </cell>
          <cell r="L12">
            <v>31043</v>
          </cell>
          <cell r="M12">
            <v>32437</v>
          </cell>
          <cell r="N12">
            <v>26450</v>
          </cell>
          <cell r="O12">
            <v>2836</v>
          </cell>
          <cell r="P12">
            <v>36558</v>
          </cell>
          <cell r="T12">
            <v>9</v>
          </cell>
          <cell r="U12" t="str">
            <v>Residential</v>
          </cell>
          <cell r="X12">
            <v>23380.919000000002</v>
          </cell>
          <cell r="Y12">
            <v>19491.59</v>
          </cell>
          <cell r="Z12">
            <v>18453.791000000001</v>
          </cell>
          <cell r="AA12">
            <v>20346.208999999999</v>
          </cell>
          <cell r="AB12">
            <v>21122.703000000001</v>
          </cell>
          <cell r="AC12">
            <v>27829.132000000001</v>
          </cell>
          <cell r="AD12">
            <v>33002.945</v>
          </cell>
          <cell r="AE12">
            <v>30875.004000000001</v>
          </cell>
          <cell r="AF12">
            <v>30010.624</v>
          </cell>
          <cell r="AG12">
            <v>25999.722000000002</v>
          </cell>
          <cell r="AH12">
            <v>19674.449000000001</v>
          </cell>
          <cell r="AI12">
            <v>21323.411</v>
          </cell>
        </row>
        <row r="13">
          <cell r="E13">
            <v>24990.721000000001</v>
          </cell>
          <cell r="F13">
            <v>21976.830999999998</v>
          </cell>
          <cell r="G13">
            <v>20563</v>
          </cell>
          <cell r="H13">
            <v>22046.71</v>
          </cell>
          <cell r="I13">
            <v>22675.084999999999</v>
          </cell>
          <cell r="J13">
            <v>28554</v>
          </cell>
          <cell r="K13">
            <v>30136.166000000001</v>
          </cell>
          <cell r="L13">
            <v>30037</v>
          </cell>
          <cell r="M13">
            <v>32243</v>
          </cell>
          <cell r="N13">
            <v>27866</v>
          </cell>
          <cell r="O13">
            <v>-2191</v>
          </cell>
          <cell r="P13">
            <v>43789</v>
          </cell>
          <cell r="T13">
            <v>10</v>
          </cell>
          <cell r="U13" t="str">
            <v>Commercial</v>
          </cell>
          <cell r="X13">
            <v>22683.006000000001</v>
          </cell>
          <cell r="Y13">
            <v>20864.488000000001</v>
          </cell>
          <cell r="Z13">
            <v>21314.923999999999</v>
          </cell>
          <cell r="AA13">
            <v>23223.17</v>
          </cell>
          <cell r="AB13">
            <v>23325.282999999999</v>
          </cell>
          <cell r="AC13">
            <v>28217.326000000001</v>
          </cell>
          <cell r="AD13">
            <v>29994.738000000001</v>
          </cell>
          <cell r="AE13">
            <v>29142.581999999999</v>
          </cell>
          <cell r="AF13">
            <v>29780.047999999999</v>
          </cell>
          <cell r="AG13">
            <v>27136.592000000001</v>
          </cell>
          <cell r="AH13">
            <v>24035.550999999999</v>
          </cell>
          <cell r="AI13">
            <v>21949.866000000002</v>
          </cell>
        </row>
        <row r="14">
          <cell r="E14">
            <v>1370</v>
          </cell>
          <cell r="F14">
            <v>1500</v>
          </cell>
          <cell r="G14">
            <v>1650</v>
          </cell>
          <cell r="H14">
            <v>1090</v>
          </cell>
          <cell r="I14">
            <v>800</v>
          </cell>
          <cell r="J14">
            <v>2220</v>
          </cell>
          <cell r="K14">
            <v>1280</v>
          </cell>
          <cell r="L14">
            <v>950</v>
          </cell>
          <cell r="M14">
            <v>950</v>
          </cell>
          <cell r="N14">
            <v>920</v>
          </cell>
          <cell r="O14">
            <v>1240</v>
          </cell>
          <cell r="P14">
            <v>1190</v>
          </cell>
          <cell r="T14">
            <v>11</v>
          </cell>
          <cell r="U14" t="str">
            <v xml:space="preserve">Industrial </v>
          </cell>
          <cell r="X14">
            <v>1590</v>
          </cell>
          <cell r="Y14">
            <v>240</v>
          </cell>
          <cell r="Z14">
            <v>1330</v>
          </cell>
          <cell r="AA14">
            <v>1850</v>
          </cell>
          <cell r="AB14">
            <v>2090</v>
          </cell>
          <cell r="AC14">
            <v>810</v>
          </cell>
          <cell r="AD14">
            <v>620</v>
          </cell>
          <cell r="AE14">
            <v>1950</v>
          </cell>
          <cell r="AF14">
            <v>1770</v>
          </cell>
          <cell r="AG14">
            <v>730</v>
          </cell>
          <cell r="AH14">
            <v>11590</v>
          </cell>
          <cell r="AI14">
            <v>2810</v>
          </cell>
        </row>
        <row r="15">
          <cell r="E15">
            <v>624.00400000000002</v>
          </cell>
          <cell r="F15">
            <v>633</v>
          </cell>
          <cell r="G15">
            <v>638.86199999999997</v>
          </cell>
          <cell r="H15">
            <v>634.72799999999995</v>
          </cell>
          <cell r="I15">
            <v>635.46400000000006</v>
          </cell>
          <cell r="J15">
            <v>637</v>
          </cell>
          <cell r="K15">
            <v>639.99699999999996</v>
          </cell>
          <cell r="L15">
            <v>636</v>
          </cell>
          <cell r="M15">
            <v>637</v>
          </cell>
          <cell r="N15">
            <v>630</v>
          </cell>
          <cell r="O15">
            <v>-254</v>
          </cell>
          <cell r="P15">
            <v>1310</v>
          </cell>
          <cell r="T15">
            <v>12</v>
          </cell>
          <cell r="U15" t="str">
            <v>Other</v>
          </cell>
          <cell r="X15">
            <v>623.37199999999996</v>
          </cell>
          <cell r="Y15">
            <v>623.69600000000003</v>
          </cell>
          <cell r="Z15">
            <v>625.43399999999997</v>
          </cell>
          <cell r="AA15">
            <v>624.65</v>
          </cell>
          <cell r="AB15">
            <v>625.85299999999995</v>
          </cell>
          <cell r="AC15">
            <v>623.88400000000001</v>
          </cell>
          <cell r="AD15">
            <v>624.69299999999998</v>
          </cell>
          <cell r="AE15">
            <v>627.04</v>
          </cell>
          <cell r="AF15">
            <v>627.95600000000002</v>
          </cell>
          <cell r="AG15">
            <v>627.34500000000003</v>
          </cell>
          <cell r="AH15">
            <v>627.92700000000002</v>
          </cell>
          <cell r="AI15">
            <v>629.47799999999995</v>
          </cell>
        </row>
        <row r="16">
          <cell r="E16">
            <v>62737.269</v>
          </cell>
          <cell r="F16">
            <v>49028.89</v>
          </cell>
          <cell r="G16">
            <v>40708.288</v>
          </cell>
          <cell r="H16">
            <v>42955.455000000002</v>
          </cell>
          <cell r="I16">
            <v>43464.879000000001</v>
          </cell>
          <cell r="J16">
            <v>59555</v>
          </cell>
          <cell r="K16">
            <v>64791.069000000003</v>
          </cell>
          <cell r="L16">
            <v>62666</v>
          </cell>
          <cell r="M16">
            <v>66267</v>
          </cell>
          <cell r="N16">
            <v>55866</v>
          </cell>
          <cell r="O16">
            <v>1631</v>
          </cell>
          <cell r="P16">
            <v>82847</v>
          </cell>
          <cell r="T16">
            <v>13</v>
          </cell>
          <cell r="U16" t="str">
            <v>Total Deliveries</v>
          </cell>
          <cell r="X16">
            <v>54554.329519999999</v>
          </cell>
          <cell r="Y16">
            <v>51681.074999999997</v>
          </cell>
          <cell r="Z16">
            <v>45119.75</v>
          </cell>
          <cell r="AA16">
            <v>43174.769000000008</v>
          </cell>
          <cell r="AB16">
            <v>45403.697</v>
          </cell>
          <cell r="AC16">
            <v>61225.494000000006</v>
          </cell>
          <cell r="AD16">
            <v>64403.224999999999</v>
          </cell>
          <cell r="AE16">
            <v>66564.97</v>
          </cell>
          <cell r="AF16">
            <v>66810.209000000003</v>
          </cell>
          <cell r="AG16">
            <v>59218.205000000002</v>
          </cell>
          <cell r="AH16">
            <v>45351.176999999996</v>
          </cell>
          <cell r="AI16">
            <v>42788.08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E20">
            <v>31875</v>
          </cell>
          <cell r="F20">
            <v>31888</v>
          </cell>
          <cell r="G20">
            <v>31911</v>
          </cell>
          <cell r="H20">
            <v>31980</v>
          </cell>
          <cell r="I20">
            <v>32036</v>
          </cell>
          <cell r="J20">
            <v>32069</v>
          </cell>
          <cell r="K20">
            <v>32100</v>
          </cell>
          <cell r="L20">
            <v>32121</v>
          </cell>
          <cell r="M20">
            <v>32103</v>
          </cell>
          <cell r="N20">
            <v>32053</v>
          </cell>
          <cell r="O20">
            <v>32135</v>
          </cell>
          <cell r="P20">
            <v>32112</v>
          </cell>
          <cell r="T20">
            <v>17</v>
          </cell>
          <cell r="X20">
            <v>31729</v>
          </cell>
          <cell r="Y20">
            <v>31788</v>
          </cell>
          <cell r="Z20">
            <v>31831</v>
          </cell>
          <cell r="AA20">
            <v>31858</v>
          </cell>
          <cell r="AB20">
            <v>31891</v>
          </cell>
          <cell r="AC20">
            <v>31923</v>
          </cell>
          <cell r="AD20">
            <v>31936</v>
          </cell>
          <cell r="AE20">
            <v>31928</v>
          </cell>
          <cell r="AF20">
            <v>31920</v>
          </cell>
          <cell r="AG20">
            <v>31880</v>
          </cell>
          <cell r="AH20">
            <v>31926</v>
          </cell>
          <cell r="AI20">
            <v>31911</v>
          </cell>
        </row>
        <row r="21">
          <cell r="E21">
            <v>51464.739000000001</v>
          </cell>
          <cell r="F21">
            <v>46444.86</v>
          </cell>
          <cell r="G21">
            <v>44019.144999999997</v>
          </cell>
          <cell r="H21">
            <v>44604.292000000001</v>
          </cell>
          <cell r="I21">
            <v>46365.64</v>
          </cell>
          <cell r="J21">
            <v>60603.445</v>
          </cell>
          <cell r="K21">
            <v>68325.709000000003</v>
          </cell>
          <cell r="L21">
            <v>68307.967999999993</v>
          </cell>
          <cell r="M21">
            <v>66645.614000000001</v>
          </cell>
          <cell r="N21">
            <v>55539.233999999997</v>
          </cell>
          <cell r="O21">
            <v>46376.476000000002</v>
          </cell>
          <cell r="P21">
            <v>46163.798999999999</v>
          </cell>
          <cell r="T21">
            <v>18</v>
          </cell>
          <cell r="X21">
            <v>56588.516000000003</v>
          </cell>
          <cell r="Y21">
            <v>50968.468000000001</v>
          </cell>
          <cell r="Z21">
            <v>45312.502999999997</v>
          </cell>
          <cell r="AA21">
            <v>42099.792000000001</v>
          </cell>
          <cell r="AB21">
            <v>44527.938000000002</v>
          </cell>
          <cell r="AC21">
            <v>53558.296000000002</v>
          </cell>
          <cell r="AD21">
            <v>65700.703999999998</v>
          </cell>
          <cell r="AE21">
            <v>64415.542000000001</v>
          </cell>
          <cell r="AF21">
            <v>60348.042000000001</v>
          </cell>
          <cell r="AG21">
            <v>47823.288999999997</v>
          </cell>
          <cell r="AH21">
            <v>43869.203000000001</v>
          </cell>
          <cell r="AI21">
            <v>45951.063999999998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24564</v>
          </cell>
          <cell r="F27">
            <v>24592</v>
          </cell>
          <cell r="G27">
            <v>24644</v>
          </cell>
          <cell r="H27">
            <v>24650</v>
          </cell>
          <cell r="I27">
            <v>24650</v>
          </cell>
          <cell r="J27">
            <v>24679</v>
          </cell>
          <cell r="K27">
            <v>24701</v>
          </cell>
          <cell r="L27">
            <v>24713</v>
          </cell>
          <cell r="M27">
            <v>24723</v>
          </cell>
          <cell r="N27">
            <v>24707</v>
          </cell>
          <cell r="O27">
            <v>24696</v>
          </cell>
          <cell r="P27">
            <v>24686</v>
          </cell>
          <cell r="T27">
            <v>24</v>
          </cell>
          <cell r="U27" t="str">
            <v>Residential</v>
          </cell>
          <cell r="X27">
            <v>24372</v>
          </cell>
          <cell r="Y27">
            <v>24397</v>
          </cell>
          <cell r="Z27">
            <v>24437</v>
          </cell>
          <cell r="AA27">
            <v>24468</v>
          </cell>
          <cell r="AB27">
            <v>24494</v>
          </cell>
          <cell r="AC27">
            <v>24510</v>
          </cell>
          <cell r="AD27">
            <v>24516</v>
          </cell>
          <cell r="AE27">
            <v>24532</v>
          </cell>
          <cell r="AF27">
            <v>24549</v>
          </cell>
          <cell r="AG27">
            <v>24562</v>
          </cell>
          <cell r="AH27">
            <v>24568</v>
          </cell>
          <cell r="AI27">
            <v>24574</v>
          </cell>
        </row>
        <row r="28">
          <cell r="E28">
            <v>7472</v>
          </cell>
          <cell r="F28">
            <v>7475</v>
          </cell>
          <cell r="G28">
            <v>7481</v>
          </cell>
          <cell r="H28">
            <v>7485</v>
          </cell>
          <cell r="I28">
            <v>7483</v>
          </cell>
          <cell r="J28">
            <v>7487</v>
          </cell>
          <cell r="K28">
            <v>7490</v>
          </cell>
          <cell r="L28">
            <v>7493</v>
          </cell>
          <cell r="M28">
            <v>7494</v>
          </cell>
          <cell r="N28">
            <v>7495</v>
          </cell>
          <cell r="O28">
            <v>7496</v>
          </cell>
          <cell r="P28">
            <v>7497</v>
          </cell>
          <cell r="T28">
            <v>25</v>
          </cell>
          <cell r="U28" t="str">
            <v>Commercial</v>
          </cell>
          <cell r="X28">
            <v>7441</v>
          </cell>
          <cell r="Y28">
            <v>7448</v>
          </cell>
          <cell r="Z28">
            <v>7446</v>
          </cell>
          <cell r="AA28">
            <v>7439</v>
          </cell>
          <cell r="AB28">
            <v>7438</v>
          </cell>
          <cell r="AC28">
            <v>7438</v>
          </cell>
          <cell r="AD28">
            <v>7437</v>
          </cell>
          <cell r="AE28">
            <v>7440</v>
          </cell>
          <cell r="AF28">
            <v>7443</v>
          </cell>
          <cell r="AG28">
            <v>7445</v>
          </cell>
          <cell r="AH28">
            <v>7448</v>
          </cell>
          <cell r="AI28">
            <v>7450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E31">
            <v>32038</v>
          </cell>
          <cell r="F31">
            <v>32069</v>
          </cell>
          <cell r="G31">
            <v>32127</v>
          </cell>
          <cell r="H31">
            <v>32137</v>
          </cell>
          <cell r="I31">
            <v>32135</v>
          </cell>
          <cell r="J31">
            <v>32168</v>
          </cell>
          <cell r="K31">
            <v>32193</v>
          </cell>
          <cell r="L31">
            <v>32208</v>
          </cell>
          <cell r="M31">
            <v>32219</v>
          </cell>
          <cell r="N31">
            <v>32204</v>
          </cell>
          <cell r="O31">
            <v>32194</v>
          </cell>
          <cell r="P31">
            <v>32185</v>
          </cell>
          <cell r="T31">
            <v>28</v>
          </cell>
          <cell r="U31" t="str">
            <v>Total customers</v>
          </cell>
          <cell r="X31">
            <v>31529</v>
          </cell>
          <cell r="Y31">
            <v>31545</v>
          </cell>
          <cell r="Z31">
            <v>31555</v>
          </cell>
          <cell r="AA31">
            <v>31564</v>
          </cell>
          <cell r="AB31">
            <v>31594</v>
          </cell>
          <cell r="AC31">
            <v>31618</v>
          </cell>
          <cell r="AD31">
            <v>31640</v>
          </cell>
          <cell r="AE31">
            <v>31655</v>
          </cell>
          <cell r="AF31">
            <v>31669</v>
          </cell>
          <cell r="AG31">
            <v>31678</v>
          </cell>
          <cell r="AH31">
            <v>31687</v>
          </cell>
          <cell r="AI31">
            <v>31695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35752.544000000002</v>
          </cell>
          <cell r="F35">
            <v>60671.603000000003</v>
          </cell>
          <cell r="G35">
            <v>78528.02900000001</v>
          </cell>
          <cell r="H35">
            <v>97712.046000000002</v>
          </cell>
          <cell r="I35">
            <v>117066.376</v>
          </cell>
          <cell r="J35">
            <v>145210.37599999999</v>
          </cell>
          <cell r="K35">
            <v>177945.28199999998</v>
          </cell>
          <cell r="L35">
            <v>208988.28199999998</v>
          </cell>
          <cell r="M35">
            <v>241425.28199999998</v>
          </cell>
          <cell r="N35">
            <v>267875.28200000001</v>
          </cell>
          <cell r="O35">
            <v>270711.28200000001</v>
          </cell>
          <cell r="P35">
            <v>307269.28200000001</v>
          </cell>
          <cell r="T35">
            <v>32</v>
          </cell>
          <cell r="U35" t="str">
            <v>Residential</v>
          </cell>
          <cell r="X35">
            <v>23380.919000000002</v>
          </cell>
          <cell r="Y35">
            <v>42872.509000000005</v>
          </cell>
          <cell r="Z35">
            <v>61326.3</v>
          </cell>
          <cell r="AA35">
            <v>81672.509000000005</v>
          </cell>
          <cell r="AB35">
            <v>102795.212</v>
          </cell>
          <cell r="AC35">
            <v>130624.344</v>
          </cell>
          <cell r="AD35">
            <v>163627.28899999999</v>
          </cell>
          <cell r="AE35">
            <v>194502.29300000001</v>
          </cell>
          <cell r="AF35">
            <v>224512.91700000002</v>
          </cell>
          <cell r="AG35">
            <v>250512.63900000002</v>
          </cell>
          <cell r="AH35">
            <v>270187.08800000005</v>
          </cell>
          <cell r="AI35">
            <v>291510.49900000007</v>
          </cell>
        </row>
        <row r="36">
          <cell r="E36">
            <v>24990.721000000001</v>
          </cell>
          <cell r="F36">
            <v>46967.551999999996</v>
          </cell>
          <cell r="G36">
            <v>67530.551999999996</v>
          </cell>
          <cell r="H36">
            <v>89577.261999999988</v>
          </cell>
          <cell r="I36">
            <v>112252.34699999998</v>
          </cell>
          <cell r="J36">
            <v>140806.34699999998</v>
          </cell>
          <cell r="K36">
            <v>170942.51299999998</v>
          </cell>
          <cell r="L36">
            <v>200979.51299999998</v>
          </cell>
          <cell r="M36">
            <v>233222.51299999998</v>
          </cell>
          <cell r="N36">
            <v>261088.51299999998</v>
          </cell>
          <cell r="O36">
            <v>258897.51299999998</v>
          </cell>
          <cell r="P36">
            <v>302686.51299999998</v>
          </cell>
          <cell r="T36">
            <v>33</v>
          </cell>
          <cell r="U36" t="str">
            <v>Commercial</v>
          </cell>
          <cell r="X36">
            <v>22683.006000000001</v>
          </cell>
          <cell r="Y36">
            <v>43547.494000000006</v>
          </cell>
          <cell r="Z36">
            <v>64862.418000000005</v>
          </cell>
          <cell r="AA36">
            <v>88085.588000000003</v>
          </cell>
          <cell r="AB36">
            <v>111410.871</v>
          </cell>
          <cell r="AC36">
            <v>139628.19699999999</v>
          </cell>
          <cell r="AD36">
            <v>169622.935</v>
          </cell>
          <cell r="AE36">
            <v>198765.51699999999</v>
          </cell>
          <cell r="AF36">
            <v>228545.565</v>
          </cell>
          <cell r="AG36">
            <v>255682.15700000001</v>
          </cell>
          <cell r="AH36">
            <v>279717.70799999998</v>
          </cell>
          <cell r="AI36">
            <v>301667.57399999996</v>
          </cell>
        </row>
        <row r="37">
          <cell r="E37">
            <v>1370</v>
          </cell>
          <cell r="F37">
            <v>2870</v>
          </cell>
          <cell r="G37">
            <v>4520</v>
          </cell>
          <cell r="H37">
            <v>5610</v>
          </cell>
          <cell r="I37">
            <v>6410</v>
          </cell>
          <cell r="J37">
            <v>8630</v>
          </cell>
          <cell r="K37">
            <v>9910</v>
          </cell>
          <cell r="L37">
            <v>10860</v>
          </cell>
          <cell r="M37">
            <v>11810</v>
          </cell>
          <cell r="N37">
            <v>12730</v>
          </cell>
          <cell r="O37">
            <v>13970</v>
          </cell>
          <cell r="P37">
            <v>15160</v>
          </cell>
          <cell r="T37">
            <v>34</v>
          </cell>
          <cell r="U37" t="str">
            <v xml:space="preserve">Industrial </v>
          </cell>
          <cell r="X37">
            <v>1590</v>
          </cell>
          <cell r="Y37">
            <v>1830</v>
          </cell>
          <cell r="Z37">
            <v>3160</v>
          </cell>
          <cell r="AA37">
            <v>5010</v>
          </cell>
          <cell r="AB37">
            <v>7100</v>
          </cell>
          <cell r="AC37">
            <v>7910</v>
          </cell>
          <cell r="AD37">
            <v>8530</v>
          </cell>
          <cell r="AE37">
            <v>10480</v>
          </cell>
          <cell r="AF37">
            <v>12250</v>
          </cell>
          <cell r="AG37">
            <v>12980</v>
          </cell>
          <cell r="AH37">
            <v>24570</v>
          </cell>
          <cell r="AI37">
            <v>27380</v>
          </cell>
        </row>
        <row r="38">
          <cell r="E38">
            <v>624.00400000000002</v>
          </cell>
          <cell r="F38">
            <v>1257.0039999999999</v>
          </cell>
          <cell r="G38">
            <v>1895.866</v>
          </cell>
          <cell r="H38">
            <v>2530.5940000000001</v>
          </cell>
          <cell r="I38">
            <v>3166.058</v>
          </cell>
          <cell r="J38">
            <v>3803.058</v>
          </cell>
          <cell r="K38">
            <v>4443.0550000000003</v>
          </cell>
          <cell r="L38">
            <v>5079.0550000000003</v>
          </cell>
          <cell r="M38">
            <v>5716.0550000000003</v>
          </cell>
          <cell r="N38">
            <v>6346.0550000000003</v>
          </cell>
          <cell r="O38">
            <v>6092.0550000000003</v>
          </cell>
          <cell r="P38">
            <v>7402.0550000000003</v>
          </cell>
          <cell r="T38">
            <v>35</v>
          </cell>
          <cell r="U38" t="str">
            <v>Other</v>
          </cell>
          <cell r="X38">
            <v>623.37199999999996</v>
          </cell>
          <cell r="Y38">
            <v>1247.068</v>
          </cell>
          <cell r="Z38">
            <v>1872.502</v>
          </cell>
          <cell r="AA38">
            <v>2497.152</v>
          </cell>
          <cell r="AB38">
            <v>3123.0050000000001</v>
          </cell>
          <cell r="AC38">
            <v>3746.8890000000001</v>
          </cell>
          <cell r="AD38">
            <v>4371.5820000000003</v>
          </cell>
          <cell r="AE38">
            <v>4998.6220000000003</v>
          </cell>
          <cell r="AF38">
            <v>5626.5780000000004</v>
          </cell>
          <cell r="AG38">
            <v>6253.9230000000007</v>
          </cell>
          <cell r="AH38">
            <v>6881.85</v>
          </cell>
          <cell r="AI38">
            <v>7511.3280000000004</v>
          </cell>
        </row>
        <row r="39">
          <cell r="E39">
            <v>62737.269</v>
          </cell>
          <cell r="F39">
            <v>111766.159</v>
          </cell>
          <cell r="G39">
            <v>152474.44700000001</v>
          </cell>
          <cell r="H39">
            <v>195429.902</v>
          </cell>
          <cell r="I39">
            <v>238894.78099999999</v>
          </cell>
          <cell r="J39">
            <v>298449.78100000002</v>
          </cell>
          <cell r="K39">
            <v>363240.84999999992</v>
          </cell>
          <cell r="L39">
            <v>425906.84999999992</v>
          </cell>
          <cell r="M39">
            <v>492173.84999999992</v>
          </cell>
          <cell r="N39">
            <v>548039.85</v>
          </cell>
          <cell r="O39">
            <v>549670.85</v>
          </cell>
          <cell r="P39">
            <v>632517.85</v>
          </cell>
          <cell r="T39">
            <v>36</v>
          </cell>
          <cell r="U39" t="str">
            <v>Total Deliveries</v>
          </cell>
          <cell r="X39">
            <v>54554.329519999999</v>
          </cell>
          <cell r="Y39">
            <v>106235.40452</v>
          </cell>
          <cell r="Z39">
            <v>151355.15451999998</v>
          </cell>
          <cell r="AA39">
            <v>194529.92352000001</v>
          </cell>
          <cell r="AB39">
            <v>239933.62052</v>
          </cell>
          <cell r="AC39">
            <v>301159.11451999994</v>
          </cell>
          <cell r="AD39">
            <v>365562.33951999998</v>
          </cell>
          <cell r="AE39">
            <v>432127.30951999995</v>
          </cell>
          <cell r="AF39">
            <v>498937.51851999998</v>
          </cell>
          <cell r="AG39">
            <v>558155.72352</v>
          </cell>
          <cell r="AH39">
            <v>603506.90052000014</v>
          </cell>
          <cell r="AI39">
            <v>646294.98051999998</v>
          </cell>
        </row>
        <row r="40">
          <cell r="T40">
            <v>37</v>
          </cell>
        </row>
        <row r="43"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E44">
            <v>31875</v>
          </cell>
          <cell r="F44">
            <v>31882</v>
          </cell>
          <cell r="G44">
            <v>31891</v>
          </cell>
          <cell r="H44">
            <v>31914</v>
          </cell>
          <cell r="I44">
            <v>31938</v>
          </cell>
          <cell r="J44">
            <v>31960</v>
          </cell>
          <cell r="K44">
            <v>31980</v>
          </cell>
          <cell r="L44">
            <v>31998</v>
          </cell>
          <cell r="M44">
            <v>32009</v>
          </cell>
          <cell r="N44">
            <v>32014</v>
          </cell>
          <cell r="O44">
            <v>32025</v>
          </cell>
          <cell r="P44">
            <v>32032</v>
          </cell>
          <cell r="T44">
            <v>39</v>
          </cell>
          <cell r="X44">
            <v>31729</v>
          </cell>
          <cell r="Y44">
            <v>31759</v>
          </cell>
          <cell r="Z44">
            <v>31783</v>
          </cell>
          <cell r="AA44">
            <v>31802</v>
          </cell>
          <cell r="AB44">
            <v>31819</v>
          </cell>
          <cell r="AC44">
            <v>31837</v>
          </cell>
          <cell r="AD44">
            <v>31851</v>
          </cell>
          <cell r="AE44">
            <v>31861</v>
          </cell>
          <cell r="AF44">
            <v>31867</v>
          </cell>
          <cell r="AG44">
            <v>31868</v>
          </cell>
          <cell r="AH44">
            <v>31874</v>
          </cell>
          <cell r="AI44">
            <v>31877</v>
          </cell>
        </row>
        <row r="45">
          <cell r="E45">
            <v>51464.739000000001</v>
          </cell>
          <cell r="F45">
            <v>97909.599000000002</v>
          </cell>
          <cell r="G45">
            <v>141928.74400000001</v>
          </cell>
          <cell r="H45">
            <v>186533.03600000002</v>
          </cell>
          <cell r="I45">
            <v>232898.67600000004</v>
          </cell>
          <cell r="J45">
            <v>293502.12100000004</v>
          </cell>
          <cell r="K45">
            <v>361827.83000000007</v>
          </cell>
          <cell r="L45">
            <v>430135.79800000007</v>
          </cell>
          <cell r="M45">
            <v>496781.41200000007</v>
          </cell>
          <cell r="N45">
            <v>552320.64600000007</v>
          </cell>
          <cell r="O45">
            <v>598697.12200000009</v>
          </cell>
          <cell r="P45">
            <v>644860.92100000009</v>
          </cell>
          <cell r="T45">
            <v>40</v>
          </cell>
          <cell r="X45">
            <v>56588.516000000003</v>
          </cell>
          <cell r="Y45">
            <v>107556.984</v>
          </cell>
          <cell r="Z45">
            <v>152869.48699999999</v>
          </cell>
          <cell r="AA45">
            <v>194969.27899999998</v>
          </cell>
          <cell r="AB45">
            <v>239497.21699999998</v>
          </cell>
          <cell r="AC45">
            <v>293055.51299999998</v>
          </cell>
          <cell r="AD45">
            <v>358756.21699999995</v>
          </cell>
          <cell r="AE45">
            <v>423171.75899999996</v>
          </cell>
          <cell r="AF45">
            <v>483519.80099999998</v>
          </cell>
          <cell r="AG45">
            <v>531343.09</v>
          </cell>
          <cell r="AH45">
            <v>575212.29299999995</v>
          </cell>
          <cell r="AI45">
            <v>621163.35699999996</v>
          </cell>
        </row>
        <row r="47">
          <cell r="G47" t="str">
            <v>Q1 2017</v>
          </cell>
          <cell r="J47" t="str">
            <v>Q2 2017</v>
          </cell>
          <cell r="M47" t="str">
            <v>Q3 2017</v>
          </cell>
          <cell r="P47" t="str">
            <v>Q4 2017</v>
          </cell>
        </row>
        <row r="48">
          <cell r="G48">
            <v>24644</v>
          </cell>
          <cell r="J48">
            <v>24714</v>
          </cell>
          <cell r="M48">
            <v>24811</v>
          </cell>
          <cell r="P48">
            <v>24573</v>
          </cell>
        </row>
        <row r="49">
          <cell r="G49">
            <v>7481</v>
          </cell>
          <cell r="J49">
            <v>7493</v>
          </cell>
          <cell r="M49">
            <v>7507</v>
          </cell>
          <cell r="P49">
            <v>7508</v>
          </cell>
        </row>
        <row r="50">
          <cell r="G50">
            <v>2</v>
          </cell>
          <cell r="J50">
            <v>2</v>
          </cell>
          <cell r="M50">
            <v>2</v>
          </cell>
          <cell r="P50">
            <v>2</v>
          </cell>
        </row>
        <row r="51">
          <cell r="G51">
            <v>0</v>
          </cell>
          <cell r="J51">
            <v>0</v>
          </cell>
          <cell r="M51">
            <v>0</v>
          </cell>
          <cell r="P51">
            <v>0</v>
          </cell>
        </row>
        <row r="52">
          <cell r="G52">
            <v>32127</v>
          </cell>
          <cell r="J52">
            <v>32209</v>
          </cell>
          <cell r="M52">
            <v>32320</v>
          </cell>
          <cell r="P52">
            <v>32083</v>
          </cell>
        </row>
        <row r="55">
          <cell r="G55">
            <v>78528</v>
          </cell>
          <cell r="J55">
            <v>66682</v>
          </cell>
          <cell r="M55">
            <v>96215</v>
          </cell>
          <cell r="P55">
            <v>65844</v>
          </cell>
        </row>
        <row r="56">
          <cell r="G56">
            <v>67531</v>
          </cell>
          <cell r="J56">
            <v>73276</v>
          </cell>
          <cell r="M56">
            <v>92416</v>
          </cell>
          <cell r="P56">
            <v>69464</v>
          </cell>
        </row>
        <row r="57">
          <cell r="G57">
            <v>4520</v>
          </cell>
          <cell r="J57">
            <v>4110</v>
          </cell>
          <cell r="M57">
            <v>3180</v>
          </cell>
          <cell r="P57">
            <v>3350</v>
          </cell>
        </row>
        <row r="58">
          <cell r="G58">
            <v>1896</v>
          </cell>
          <cell r="J58">
            <v>1907</v>
          </cell>
          <cell r="M58">
            <v>1913</v>
          </cell>
          <cell r="P58">
            <v>1686</v>
          </cell>
        </row>
        <row r="59">
          <cell r="G59">
            <v>152475</v>
          </cell>
          <cell r="J59">
            <v>145975</v>
          </cell>
          <cell r="M59">
            <v>193724</v>
          </cell>
          <cell r="P59">
            <v>140344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INPUT_Date.Etc"/>
      <sheetName val="Customers Act vs Budget"/>
      <sheetName val="VolumesActvsAct"/>
      <sheetName val="CustomersActvsAct"/>
      <sheetName val="Volumes Act vs Budget"/>
      <sheetName val="RegCust"/>
      <sheetName val="RegVol"/>
      <sheetName val="UnregCust"/>
      <sheetName val="UnregVol"/>
      <sheetName val="Utility stats Q1 2019"/>
      <sheetName val="Delaware"/>
      <sheetName val="Maryland"/>
      <sheetName val="Sandpiper"/>
      <sheetName val="CFG"/>
      <sheetName val="FPUNG"/>
      <sheetName val="ESNG"/>
      <sheetName val="Electric"/>
      <sheetName val="FloridaPropane"/>
      <sheetName val="SharpDelmarva"/>
      <sheetName val="AEO"/>
      <sheetName val="PESCO"/>
    </sheetNames>
    <sheetDataSet>
      <sheetData sheetId="0" refreshError="1"/>
      <sheetData sheetId="1">
        <row r="4">
          <cell r="B4">
            <v>12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2019 and 2018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2019</v>
          </cell>
          <cell r="J14" t="str">
            <v>Actual customers for the Month of January 2018</v>
          </cell>
          <cell r="K14" t="str">
            <v>Average customers for the One Month ended January 31, 2019</v>
          </cell>
          <cell r="L14" t="str">
            <v>Average customers for the One Month ended January 31, 2018</v>
          </cell>
          <cell r="M14" t="str">
            <v>Volume for the Month of January 2019</v>
          </cell>
          <cell r="N14" t="str">
            <v>Volume for the Month of January 2018</v>
          </cell>
          <cell r="O14" t="str">
            <v>Volume for the One Month ended January 31, 2019</v>
          </cell>
          <cell r="P14" t="str">
            <v>Volume for the One Month ended January 31, 2018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2019 and 2018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2019</v>
          </cell>
          <cell r="J15" t="str">
            <v>Actual customers for the Month of February 2018</v>
          </cell>
          <cell r="K15" t="str">
            <v>Average customers for the Two Months ended February 28, 2019</v>
          </cell>
          <cell r="L15" t="str">
            <v>Average customers for the Two Months ended February 28, 2018</v>
          </cell>
          <cell r="M15" t="str">
            <v>Volume for the Month of February 2019</v>
          </cell>
          <cell r="N15" t="str">
            <v>Volume for the Month of February 2018</v>
          </cell>
          <cell r="O15" t="str">
            <v>Volume for the Two Months ended February 28, 2019</v>
          </cell>
          <cell r="P15" t="str">
            <v>Volume for the Two Months ended February 28, 2018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2019 and 2018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2019</v>
          </cell>
          <cell r="J16" t="str">
            <v>Actual customers for the Month of March 2018</v>
          </cell>
          <cell r="K16" t="str">
            <v>Average customers for the Three Months ended March 31, 2019</v>
          </cell>
          <cell r="L16" t="str">
            <v>Average customers for the Three Months ended March 31, 2018</v>
          </cell>
          <cell r="M16" t="str">
            <v>Volume for the Month of March 2019</v>
          </cell>
          <cell r="N16" t="str">
            <v>Volume for the Month of March 2018</v>
          </cell>
          <cell r="O16" t="str">
            <v>Volume for the Three Months ended March 31, 2019</v>
          </cell>
          <cell r="P16" t="str">
            <v>Volume for the Three Months ended March 31, 2018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2019 and 2018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2019</v>
          </cell>
          <cell r="J17" t="str">
            <v>Actual customers for the Month of April 2018</v>
          </cell>
          <cell r="K17" t="str">
            <v>Average customers for the Four Months ended April 30, 2019</v>
          </cell>
          <cell r="L17" t="str">
            <v>Average customers for the Four Months ended April 30, 2018</v>
          </cell>
          <cell r="M17" t="str">
            <v>Volume for the Month of April 2019</v>
          </cell>
          <cell r="N17" t="str">
            <v>Volume for the Month of April 2018</v>
          </cell>
          <cell r="O17" t="str">
            <v>Volume for the Four Months ended April 30, 2019</v>
          </cell>
          <cell r="P17" t="str">
            <v>Volume for the Four Months ended April 30, 2018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2019 and 2018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2019</v>
          </cell>
          <cell r="J18" t="str">
            <v>Actual customers for the Month of May 2018</v>
          </cell>
          <cell r="K18" t="str">
            <v>Average customers for the Five Months ended May 31, 2019</v>
          </cell>
          <cell r="L18" t="str">
            <v>Average customers for the Five Months ended May 31, 2018</v>
          </cell>
          <cell r="M18" t="str">
            <v>Volume for the Month of May 2019</v>
          </cell>
          <cell r="N18" t="str">
            <v>Volume for the Month of May 2018</v>
          </cell>
          <cell r="O18" t="str">
            <v>Volume for the Five Months ended May 31, 2019</v>
          </cell>
          <cell r="P18" t="str">
            <v>Volume for the Five Months ended May 31, 2018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2019 and 2018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2019</v>
          </cell>
          <cell r="J19" t="str">
            <v>Actual customers for the Month of June 2018</v>
          </cell>
          <cell r="K19" t="str">
            <v>Average customers for the Six Months ended June 30, 2019</v>
          </cell>
          <cell r="L19" t="str">
            <v>Average customers for the Six Months ended June 30, 2018</v>
          </cell>
          <cell r="M19" t="str">
            <v>Volume for the Month of June 2019</v>
          </cell>
          <cell r="N19" t="str">
            <v>Volume for the Month of June 2018</v>
          </cell>
          <cell r="O19" t="str">
            <v>Volume for the Six Months ended June 30, 2019</v>
          </cell>
          <cell r="P19" t="str">
            <v>Volume for the Six Months ended June 30, 2018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2019 and 2018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2019</v>
          </cell>
          <cell r="J20" t="str">
            <v>Actual customers for the Month of July 2018</v>
          </cell>
          <cell r="K20" t="str">
            <v>Average customers for the Seven Months ended July 31, 2019</v>
          </cell>
          <cell r="L20" t="str">
            <v>Average customers for the Seven Months ended July 31, 2018</v>
          </cell>
          <cell r="M20" t="str">
            <v>Volume for the Month of July 2019</v>
          </cell>
          <cell r="N20" t="str">
            <v>Volume for the Month of July 2018</v>
          </cell>
          <cell r="O20" t="str">
            <v>Volume for the Seven Months ended July 31, 2019</v>
          </cell>
          <cell r="P20" t="str">
            <v>Volume for the Seven Months ended July 31, 2018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2019 and 2018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2019</v>
          </cell>
          <cell r="J21" t="str">
            <v>Actual customers for the Month of August 2018</v>
          </cell>
          <cell r="K21" t="str">
            <v>Average customers for the Eight Months ended August 31, 2019</v>
          </cell>
          <cell r="L21" t="str">
            <v>Average customers for the Eight Months ended August 31, 2018</v>
          </cell>
          <cell r="M21" t="str">
            <v>Volume for the Month of August 2019</v>
          </cell>
          <cell r="N21" t="str">
            <v>Volume for the Month of August 2018</v>
          </cell>
          <cell r="O21" t="str">
            <v>Volume for the Eight Months ended August 31, 2019</v>
          </cell>
          <cell r="P21" t="str">
            <v>Volume for the Eight Months ended August 31, 2018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2019 and 2018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2019</v>
          </cell>
          <cell r="J22" t="str">
            <v>Actual customers for the Month of September 2018</v>
          </cell>
          <cell r="K22" t="str">
            <v>Average customers for the Nine Months ended September 30, 2019</v>
          </cell>
          <cell r="L22" t="str">
            <v>Average customers for the Nine Months ended September 30, 2018</v>
          </cell>
          <cell r="M22" t="str">
            <v>Volume for the Month of September 2019</v>
          </cell>
          <cell r="N22" t="str">
            <v>Volume for the Month of September 2018</v>
          </cell>
          <cell r="O22" t="str">
            <v>Volume for the Nine Months ended September 30, 2019</v>
          </cell>
          <cell r="P22" t="str">
            <v>Volume for the Nine Months ended September 30, 2018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2019 and 2018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2019</v>
          </cell>
          <cell r="J23" t="str">
            <v>Actual customers for the Month of October 2018</v>
          </cell>
          <cell r="K23" t="str">
            <v>Average customers for the Ten Months ended October 31, 2019</v>
          </cell>
          <cell r="L23" t="str">
            <v>Average customers for the Ten Months ended October 31, 2018</v>
          </cell>
          <cell r="M23" t="str">
            <v>Volume for the Month of October 2019</v>
          </cell>
          <cell r="N23" t="str">
            <v>Volume for the Month of October 2018</v>
          </cell>
          <cell r="O23" t="str">
            <v>Volume for the Ten Months ended October 31, 2019</v>
          </cell>
          <cell r="P23" t="str">
            <v>Volume for the Ten Months ended October 31, 2018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2019 and 2018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2019</v>
          </cell>
          <cell r="J24" t="str">
            <v>Actual customers for the Month of November 2018</v>
          </cell>
          <cell r="K24" t="str">
            <v>Average customers for the Eleven Months ended November 30, 2019</v>
          </cell>
          <cell r="L24" t="str">
            <v>Average customers for the Eleven Months ended November 30, 2018</v>
          </cell>
          <cell r="M24" t="str">
            <v>Volume for the Month of November 2019</v>
          </cell>
          <cell r="N24" t="str">
            <v>Volume for the Month of November 2018</v>
          </cell>
          <cell r="O24" t="str">
            <v>Volume for the Eleven Months ended November 30, 2019</v>
          </cell>
          <cell r="P24" t="str">
            <v>Volume for the Eleven Months ended November 30, 2018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2019 and 2018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2019</v>
          </cell>
          <cell r="J25" t="str">
            <v>Actual customers for the Month of December 2018</v>
          </cell>
          <cell r="K25" t="str">
            <v>Average customers for the Twelve Months ended December 31, 2019</v>
          </cell>
          <cell r="L25" t="str">
            <v>Average customers for the Twelve Months ended December 31, 2018</v>
          </cell>
          <cell r="M25" t="str">
            <v>Volume for the Month of December 2019</v>
          </cell>
          <cell r="N25" t="str">
            <v>Volume for the Month of December 2018</v>
          </cell>
          <cell r="O25" t="str">
            <v>Volume for the Twelve Months ended December 31, 2019</v>
          </cell>
          <cell r="P25" t="str">
            <v>Volume for the Twelve Months ended December 31, 2018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">
          <cell r="G3" t="str">
            <v>For the Twelve Months ended December 31, 2019 and 2018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53204.75</v>
          </cell>
          <cell r="E5">
            <v>52740</v>
          </cell>
          <cell r="F5">
            <v>52940</v>
          </cell>
          <cell r="G5">
            <v>53088</v>
          </cell>
          <cell r="H5">
            <v>53007</v>
          </cell>
          <cell r="I5">
            <v>52965</v>
          </cell>
          <cell r="J5">
            <v>52762</v>
          </cell>
          <cell r="K5">
            <v>52810</v>
          </cell>
          <cell r="L5">
            <v>52908</v>
          </cell>
          <cell r="M5">
            <v>53071</v>
          </cell>
          <cell r="N5">
            <v>53264</v>
          </cell>
          <cell r="O5">
            <v>54017</v>
          </cell>
          <cell r="P5">
            <v>54885</v>
          </cell>
          <cell r="T5">
            <v>2</v>
          </cell>
          <cell r="U5" t="str">
            <v>Residential</v>
          </cell>
          <cell r="V5">
            <v>50675</v>
          </cell>
          <cell r="W5">
            <v>608099</v>
          </cell>
          <cell r="X5">
            <v>50133</v>
          </cell>
          <cell r="Y5">
            <v>50319</v>
          </cell>
          <cell r="Z5">
            <v>50396</v>
          </cell>
          <cell r="AA5">
            <v>50486</v>
          </cell>
          <cell r="AB5">
            <v>50384</v>
          </cell>
          <cell r="AC5">
            <v>50307</v>
          </cell>
          <cell r="AD5">
            <v>50283</v>
          </cell>
          <cell r="AE5">
            <v>50379</v>
          </cell>
          <cell r="AF5">
            <v>50619</v>
          </cell>
          <cell r="AG5">
            <v>50914</v>
          </cell>
          <cell r="AH5">
            <v>51648</v>
          </cell>
          <cell r="AI5">
            <v>52231</v>
          </cell>
        </row>
        <row r="6">
          <cell r="A6">
            <v>3</v>
          </cell>
          <cell r="B6" t="str">
            <v>Commercial</v>
          </cell>
          <cell r="D6">
            <v>4108.666666666667</v>
          </cell>
          <cell r="E6">
            <v>4149</v>
          </cell>
          <cell r="F6">
            <v>4173</v>
          </cell>
          <cell r="G6">
            <v>4176</v>
          </cell>
          <cell r="H6">
            <v>4155</v>
          </cell>
          <cell r="I6">
            <v>4098</v>
          </cell>
          <cell r="J6">
            <v>4061</v>
          </cell>
          <cell r="K6">
            <v>4050</v>
          </cell>
          <cell r="L6">
            <v>4052</v>
          </cell>
          <cell r="M6">
            <v>4051</v>
          </cell>
          <cell r="N6">
            <v>4048</v>
          </cell>
          <cell r="O6">
            <v>4098</v>
          </cell>
          <cell r="P6">
            <v>4193</v>
          </cell>
          <cell r="T6">
            <v>3</v>
          </cell>
          <cell r="U6" t="str">
            <v>Commercial</v>
          </cell>
          <cell r="V6">
            <v>4030</v>
          </cell>
          <cell r="W6">
            <v>48365</v>
          </cell>
          <cell r="X6">
            <v>4075</v>
          </cell>
          <cell r="Y6">
            <v>4085</v>
          </cell>
          <cell r="Z6">
            <v>4097</v>
          </cell>
          <cell r="AA6">
            <v>4084</v>
          </cell>
          <cell r="AB6">
            <v>4029</v>
          </cell>
          <cell r="AC6">
            <v>3992</v>
          </cell>
          <cell r="AD6">
            <v>3976</v>
          </cell>
          <cell r="AE6">
            <v>3964</v>
          </cell>
          <cell r="AF6">
            <v>3957</v>
          </cell>
          <cell r="AG6">
            <v>3964</v>
          </cell>
          <cell r="AH6">
            <v>4025</v>
          </cell>
          <cell r="AI6">
            <v>4117</v>
          </cell>
        </row>
        <row r="7">
          <cell r="A7">
            <v>4</v>
          </cell>
          <cell r="B7" t="str">
            <v xml:space="preserve">Industrial </v>
          </cell>
          <cell r="D7">
            <v>94.583333333333329</v>
          </cell>
          <cell r="E7">
            <v>93</v>
          </cell>
          <cell r="F7">
            <v>95</v>
          </cell>
          <cell r="G7">
            <v>96</v>
          </cell>
          <cell r="H7">
            <v>94</v>
          </cell>
          <cell r="I7">
            <v>94</v>
          </cell>
          <cell r="J7">
            <v>94</v>
          </cell>
          <cell r="K7">
            <v>94</v>
          </cell>
          <cell r="L7">
            <v>94</v>
          </cell>
          <cell r="M7">
            <v>95</v>
          </cell>
          <cell r="N7">
            <v>95</v>
          </cell>
          <cell r="O7">
            <v>95</v>
          </cell>
          <cell r="P7">
            <v>96</v>
          </cell>
          <cell r="T7">
            <v>4</v>
          </cell>
          <cell r="U7" t="str">
            <v xml:space="preserve">Industrial </v>
          </cell>
          <cell r="V7">
            <v>91</v>
          </cell>
          <cell r="W7">
            <v>1094</v>
          </cell>
          <cell r="X7">
            <v>88</v>
          </cell>
          <cell r="Y7">
            <v>89</v>
          </cell>
          <cell r="Z7">
            <v>89</v>
          </cell>
          <cell r="AA7">
            <v>90</v>
          </cell>
          <cell r="AB7">
            <v>91</v>
          </cell>
          <cell r="AC7">
            <v>91</v>
          </cell>
          <cell r="AD7">
            <v>91</v>
          </cell>
          <cell r="AE7">
            <v>91</v>
          </cell>
          <cell r="AF7">
            <v>93</v>
          </cell>
          <cell r="AG7">
            <v>94</v>
          </cell>
          <cell r="AH7">
            <v>94</v>
          </cell>
          <cell r="AI7">
            <v>93</v>
          </cell>
        </row>
        <row r="8">
          <cell r="A8">
            <v>5</v>
          </cell>
          <cell r="B8" t="str">
            <v>Other</v>
          </cell>
          <cell r="D8">
            <v>15.416666666666666</v>
          </cell>
          <cell r="E8">
            <v>8</v>
          </cell>
          <cell r="F8">
            <v>12</v>
          </cell>
          <cell r="G8">
            <v>6</v>
          </cell>
          <cell r="H8">
            <v>10</v>
          </cell>
          <cell r="I8">
            <v>16</v>
          </cell>
          <cell r="J8">
            <v>22</v>
          </cell>
          <cell r="K8">
            <v>16</v>
          </cell>
          <cell r="L8">
            <v>17</v>
          </cell>
          <cell r="M8">
            <v>20</v>
          </cell>
          <cell r="N8">
            <v>20</v>
          </cell>
          <cell r="O8">
            <v>21</v>
          </cell>
          <cell r="P8">
            <v>17</v>
          </cell>
          <cell r="T8">
            <v>5</v>
          </cell>
          <cell r="U8" t="str">
            <v xml:space="preserve">Interruptible </v>
          </cell>
          <cell r="V8">
            <v>5</v>
          </cell>
          <cell r="W8">
            <v>56</v>
          </cell>
          <cell r="X8">
            <v>5</v>
          </cell>
          <cell r="Y8">
            <v>7</v>
          </cell>
          <cell r="Z8">
            <v>5</v>
          </cell>
          <cell r="AA8">
            <v>5</v>
          </cell>
          <cell r="AB8">
            <v>6</v>
          </cell>
          <cell r="AC8">
            <v>2</v>
          </cell>
          <cell r="AD8">
            <v>2</v>
          </cell>
          <cell r="AE8">
            <v>6</v>
          </cell>
          <cell r="AF8">
            <v>6</v>
          </cell>
          <cell r="AG8">
            <v>5</v>
          </cell>
          <cell r="AH8">
            <v>2</v>
          </cell>
          <cell r="AI8">
            <v>5</v>
          </cell>
        </row>
        <row r="9">
          <cell r="A9">
            <v>6</v>
          </cell>
          <cell r="B9" t="str">
            <v>Total customers</v>
          </cell>
          <cell r="D9">
            <v>57423.416666666664</v>
          </cell>
          <cell r="E9">
            <v>56990</v>
          </cell>
          <cell r="F9">
            <v>57220</v>
          </cell>
          <cell r="G9">
            <v>57366</v>
          </cell>
          <cell r="H9">
            <v>57266</v>
          </cell>
          <cell r="I9">
            <v>57173</v>
          </cell>
          <cell r="J9">
            <v>56939</v>
          </cell>
          <cell r="K9">
            <v>56970</v>
          </cell>
          <cell r="L9">
            <v>57071</v>
          </cell>
          <cell r="M9">
            <v>57237</v>
          </cell>
          <cell r="N9">
            <v>57427</v>
          </cell>
          <cell r="O9">
            <v>58231</v>
          </cell>
          <cell r="P9">
            <v>59191</v>
          </cell>
          <cell r="T9">
            <v>6</v>
          </cell>
          <cell r="U9" t="str">
            <v>Total customers</v>
          </cell>
          <cell r="V9">
            <v>54801</v>
          </cell>
          <cell r="W9">
            <v>657614</v>
          </cell>
          <cell r="X9">
            <v>54301</v>
          </cell>
          <cell r="Y9">
            <v>54500</v>
          </cell>
          <cell r="Z9">
            <v>54587</v>
          </cell>
          <cell r="AA9">
            <v>54665</v>
          </cell>
          <cell r="AB9">
            <v>54510</v>
          </cell>
          <cell r="AC9">
            <v>54392</v>
          </cell>
          <cell r="AD9">
            <v>54352</v>
          </cell>
          <cell r="AE9">
            <v>54440</v>
          </cell>
          <cell r="AF9">
            <v>54675</v>
          </cell>
          <cell r="AG9">
            <v>54977</v>
          </cell>
          <cell r="AH9">
            <v>55769</v>
          </cell>
          <cell r="AI9">
            <v>56446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2958061</v>
          </cell>
          <cell r="E12">
            <v>516272</v>
          </cell>
          <cell r="F12">
            <v>660551</v>
          </cell>
          <cell r="G12">
            <v>517597</v>
          </cell>
          <cell r="H12">
            <v>271811</v>
          </cell>
          <cell r="I12">
            <v>91296</v>
          </cell>
          <cell r="J12">
            <v>58790</v>
          </cell>
          <cell r="K12">
            <v>46437</v>
          </cell>
          <cell r="L12">
            <v>42742</v>
          </cell>
          <cell r="M12">
            <v>45806</v>
          </cell>
          <cell r="N12">
            <v>55610</v>
          </cell>
          <cell r="O12">
            <v>218946</v>
          </cell>
          <cell r="P12">
            <v>432203</v>
          </cell>
          <cell r="T12">
            <v>9</v>
          </cell>
          <cell r="U12" t="str">
            <v>Residential</v>
          </cell>
          <cell r="W12">
            <v>3123423</v>
          </cell>
          <cell r="X12">
            <v>703234</v>
          </cell>
          <cell r="Y12">
            <v>539169</v>
          </cell>
          <cell r="Z12">
            <v>436062</v>
          </cell>
          <cell r="AA12">
            <v>377152</v>
          </cell>
          <cell r="AB12">
            <v>138629</v>
          </cell>
          <cell r="AC12">
            <v>55888</v>
          </cell>
          <cell r="AD12">
            <v>47067</v>
          </cell>
          <cell r="AE12">
            <v>40751</v>
          </cell>
          <cell r="AF12">
            <v>43203</v>
          </cell>
          <cell r="AG12">
            <v>60708</v>
          </cell>
          <cell r="AH12">
            <v>216049</v>
          </cell>
          <cell r="AI12">
            <v>465511</v>
          </cell>
        </row>
        <row r="13">
          <cell r="A13">
            <v>10</v>
          </cell>
          <cell r="B13" t="str">
            <v>Commercial</v>
          </cell>
          <cell r="D13">
            <v>2321424</v>
          </cell>
          <cell r="E13">
            <v>350282</v>
          </cell>
          <cell r="F13">
            <v>383162</v>
          </cell>
          <cell r="G13">
            <v>335595</v>
          </cell>
          <cell r="H13">
            <v>187143</v>
          </cell>
          <cell r="I13">
            <v>112919</v>
          </cell>
          <cell r="J13">
            <v>90553</v>
          </cell>
          <cell r="K13">
            <v>79795</v>
          </cell>
          <cell r="L13">
            <v>80733</v>
          </cell>
          <cell r="M13">
            <v>85685</v>
          </cell>
          <cell r="N13">
            <v>104716</v>
          </cell>
          <cell r="O13">
            <v>195833</v>
          </cell>
          <cell r="P13">
            <v>315008</v>
          </cell>
          <cell r="T13">
            <v>10</v>
          </cell>
          <cell r="U13" t="str">
            <v>Commercial</v>
          </cell>
          <cell r="W13">
            <v>2413774</v>
          </cell>
          <cell r="X13">
            <v>469375</v>
          </cell>
          <cell r="Y13">
            <v>331447</v>
          </cell>
          <cell r="Z13">
            <v>326454</v>
          </cell>
          <cell r="AA13">
            <v>232321</v>
          </cell>
          <cell r="AB13">
            <v>114099</v>
          </cell>
          <cell r="AC13">
            <v>87388</v>
          </cell>
          <cell r="AD13">
            <v>73839</v>
          </cell>
          <cell r="AE13">
            <v>77774</v>
          </cell>
          <cell r="AF13">
            <v>76840</v>
          </cell>
          <cell r="AG13">
            <v>107166</v>
          </cell>
          <cell r="AH13">
            <v>208965</v>
          </cell>
          <cell r="AI13">
            <v>308106</v>
          </cell>
        </row>
        <row r="14">
          <cell r="A14">
            <v>11</v>
          </cell>
          <cell r="B14" t="str">
            <v xml:space="preserve">Industrial </v>
          </cell>
          <cell r="D14">
            <v>3067958</v>
          </cell>
          <cell r="E14">
            <v>301266</v>
          </cell>
          <cell r="F14">
            <v>288058</v>
          </cell>
          <cell r="G14">
            <v>301483</v>
          </cell>
          <cell r="H14">
            <v>252945</v>
          </cell>
          <cell r="I14">
            <v>240670</v>
          </cell>
          <cell r="J14">
            <v>217638</v>
          </cell>
          <cell r="K14">
            <v>217544</v>
          </cell>
          <cell r="L14">
            <v>224816</v>
          </cell>
          <cell r="M14">
            <v>249398</v>
          </cell>
          <cell r="N14">
            <v>254452</v>
          </cell>
          <cell r="O14">
            <v>251001</v>
          </cell>
          <cell r="P14">
            <v>268687</v>
          </cell>
          <cell r="T14">
            <v>11</v>
          </cell>
          <cell r="U14" t="str">
            <v xml:space="preserve">Industrial </v>
          </cell>
          <cell r="W14">
            <v>3195092</v>
          </cell>
          <cell r="X14">
            <v>321487</v>
          </cell>
          <cell r="Y14">
            <v>273049</v>
          </cell>
          <cell r="Z14">
            <v>298930</v>
          </cell>
          <cell r="AA14">
            <v>267843</v>
          </cell>
          <cell r="AB14">
            <v>245032</v>
          </cell>
          <cell r="AC14">
            <v>234419</v>
          </cell>
          <cell r="AD14">
            <v>215710</v>
          </cell>
          <cell r="AE14">
            <v>238644</v>
          </cell>
          <cell r="AF14">
            <v>231960</v>
          </cell>
          <cell r="AG14">
            <v>284945</v>
          </cell>
          <cell r="AH14">
            <v>282386</v>
          </cell>
          <cell r="AI14">
            <v>300687</v>
          </cell>
        </row>
        <row r="15">
          <cell r="A15">
            <v>12</v>
          </cell>
          <cell r="B15" t="str">
            <v>Other</v>
          </cell>
          <cell r="D15">
            <v>212140</v>
          </cell>
          <cell r="E15">
            <v>7334</v>
          </cell>
          <cell r="F15">
            <v>4776</v>
          </cell>
          <cell r="G15">
            <v>5005</v>
          </cell>
          <cell r="H15">
            <v>25476</v>
          </cell>
          <cell r="I15">
            <v>17690</v>
          </cell>
          <cell r="J15">
            <v>15036</v>
          </cell>
          <cell r="K15">
            <v>15568</v>
          </cell>
          <cell r="L15">
            <v>21009</v>
          </cell>
          <cell r="M15">
            <v>20699</v>
          </cell>
          <cell r="N15">
            <v>23848</v>
          </cell>
          <cell r="O15">
            <v>24023</v>
          </cell>
          <cell r="P15">
            <v>31676</v>
          </cell>
          <cell r="T15">
            <v>12</v>
          </cell>
          <cell r="U15" t="str">
            <v xml:space="preserve">Interruptible </v>
          </cell>
          <cell r="W15">
            <v>76915</v>
          </cell>
          <cell r="X15">
            <v>4163</v>
          </cell>
          <cell r="Y15">
            <v>3534</v>
          </cell>
          <cell r="Z15">
            <v>4268</v>
          </cell>
          <cell r="AA15">
            <v>4815</v>
          </cell>
          <cell r="AB15">
            <v>6471</v>
          </cell>
          <cell r="AC15">
            <v>5747</v>
          </cell>
          <cell r="AD15">
            <v>8393</v>
          </cell>
          <cell r="AE15">
            <v>9286</v>
          </cell>
          <cell r="AF15">
            <v>7853</v>
          </cell>
          <cell r="AG15">
            <v>8544</v>
          </cell>
          <cell r="AH15">
            <v>6734</v>
          </cell>
          <cell r="AI15">
            <v>7107</v>
          </cell>
        </row>
        <row r="16">
          <cell r="A16">
            <v>13</v>
          </cell>
          <cell r="B16" t="str">
            <v>Total Volume</v>
          </cell>
          <cell r="D16">
            <v>8559583</v>
          </cell>
          <cell r="E16">
            <v>1175154</v>
          </cell>
          <cell r="F16">
            <v>1336547</v>
          </cell>
          <cell r="G16">
            <v>1159680</v>
          </cell>
          <cell r="H16">
            <v>737375</v>
          </cell>
          <cell r="I16">
            <v>462575</v>
          </cell>
          <cell r="J16">
            <v>382017</v>
          </cell>
          <cell r="K16">
            <v>359344</v>
          </cell>
          <cell r="L16">
            <v>369300</v>
          </cell>
          <cell r="M16">
            <v>401588</v>
          </cell>
          <cell r="N16">
            <v>438626</v>
          </cell>
          <cell r="O16">
            <v>689803</v>
          </cell>
          <cell r="P16">
            <v>1047574</v>
          </cell>
          <cell r="T16">
            <v>13</v>
          </cell>
          <cell r="U16" t="str">
            <v>Total Deliveries</v>
          </cell>
          <cell r="W16">
            <v>8809204</v>
          </cell>
          <cell r="X16">
            <v>1498259</v>
          </cell>
          <cell r="Y16">
            <v>1147199</v>
          </cell>
          <cell r="Z16">
            <v>1065714</v>
          </cell>
          <cell r="AA16">
            <v>882131</v>
          </cell>
          <cell r="AB16">
            <v>504231</v>
          </cell>
          <cell r="AC16">
            <v>383442</v>
          </cell>
          <cell r="AD16">
            <v>345009</v>
          </cell>
          <cell r="AE16">
            <v>366455</v>
          </cell>
          <cell r="AF16">
            <v>359856</v>
          </cell>
          <cell r="AG16">
            <v>461363</v>
          </cell>
          <cell r="AH16">
            <v>714134</v>
          </cell>
          <cell r="AI16">
            <v>1081411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3079596</v>
          </cell>
          <cell r="E21">
            <v>539319</v>
          </cell>
          <cell r="F21">
            <v>688958</v>
          </cell>
          <cell r="G21">
            <v>539505</v>
          </cell>
          <cell r="H21">
            <v>282833</v>
          </cell>
          <cell r="I21">
            <v>94869</v>
          </cell>
          <cell r="J21">
            <v>61091</v>
          </cell>
          <cell r="K21">
            <v>48284</v>
          </cell>
          <cell r="L21">
            <v>44671</v>
          </cell>
          <cell r="M21">
            <v>47558</v>
          </cell>
          <cell r="N21">
            <v>57825</v>
          </cell>
          <cell r="O21">
            <v>227467</v>
          </cell>
          <cell r="P21">
            <v>447216</v>
          </cell>
          <cell r="T21">
            <v>18</v>
          </cell>
          <cell r="U21" t="str">
            <v>Residential</v>
          </cell>
          <cell r="W21">
            <v>2635109</v>
          </cell>
          <cell r="X21">
            <v>738224</v>
          </cell>
          <cell r="Y21">
            <v>563938</v>
          </cell>
          <cell r="Z21">
            <v>456385</v>
          </cell>
          <cell r="AA21">
            <v>393229</v>
          </cell>
          <cell r="AB21">
            <v>144551</v>
          </cell>
          <cell r="AC21">
            <v>58450</v>
          </cell>
          <cell r="AD21">
            <v>49195</v>
          </cell>
          <cell r="AE21">
            <v>42450</v>
          </cell>
          <cell r="AF21">
            <v>45128</v>
          </cell>
          <cell r="AG21">
            <v>63151</v>
          </cell>
          <cell r="AH21">
            <v>225010</v>
          </cell>
          <cell r="AI21">
            <v>485481</v>
          </cell>
        </row>
        <row r="22">
          <cell r="A22">
            <v>19</v>
          </cell>
          <cell r="B22" t="str">
            <v>Commercial</v>
          </cell>
          <cell r="D22">
            <v>2416125</v>
          </cell>
          <cell r="E22">
            <v>365919</v>
          </cell>
          <cell r="F22">
            <v>399640</v>
          </cell>
          <cell r="G22">
            <v>349800</v>
          </cell>
          <cell r="H22">
            <v>194732</v>
          </cell>
          <cell r="I22">
            <v>117338</v>
          </cell>
          <cell r="J22">
            <v>94097</v>
          </cell>
          <cell r="K22">
            <v>82968</v>
          </cell>
          <cell r="L22">
            <v>84376</v>
          </cell>
          <cell r="M22">
            <v>88962</v>
          </cell>
          <cell r="N22">
            <v>108888</v>
          </cell>
          <cell r="O22">
            <v>203455</v>
          </cell>
          <cell r="P22">
            <v>325950</v>
          </cell>
          <cell r="T22">
            <v>19</v>
          </cell>
          <cell r="U22" t="str">
            <v>Commercial</v>
          </cell>
          <cell r="W22">
            <v>2113441</v>
          </cell>
          <cell r="X22">
            <v>492729</v>
          </cell>
          <cell r="Y22">
            <v>346674</v>
          </cell>
          <cell r="Z22">
            <v>341669</v>
          </cell>
          <cell r="AA22">
            <v>242224</v>
          </cell>
          <cell r="AB22">
            <v>118973</v>
          </cell>
          <cell r="AC22">
            <v>91395</v>
          </cell>
          <cell r="AD22">
            <v>77177</v>
          </cell>
          <cell r="AE22">
            <v>81017</v>
          </cell>
          <cell r="AF22">
            <v>80264</v>
          </cell>
          <cell r="AG22">
            <v>111479</v>
          </cell>
          <cell r="AH22">
            <v>217632</v>
          </cell>
          <cell r="AI22">
            <v>321324</v>
          </cell>
        </row>
        <row r="23">
          <cell r="A23">
            <v>20</v>
          </cell>
          <cell r="B23" t="str">
            <v xml:space="preserve">Industrial </v>
          </cell>
          <cell r="D23">
            <v>3192325</v>
          </cell>
          <cell r="E23">
            <v>314715</v>
          </cell>
          <cell r="F23">
            <v>300446</v>
          </cell>
          <cell r="G23">
            <v>314244</v>
          </cell>
          <cell r="H23">
            <v>263202</v>
          </cell>
          <cell r="I23">
            <v>250089</v>
          </cell>
          <cell r="J23">
            <v>226156</v>
          </cell>
          <cell r="K23">
            <v>226196</v>
          </cell>
          <cell r="L23">
            <v>234961</v>
          </cell>
          <cell r="M23">
            <v>258937</v>
          </cell>
          <cell r="N23">
            <v>264589</v>
          </cell>
          <cell r="O23">
            <v>260770</v>
          </cell>
          <cell r="P23">
            <v>278020</v>
          </cell>
          <cell r="T23">
            <v>20</v>
          </cell>
          <cell r="U23" t="str">
            <v xml:space="preserve">Industrial </v>
          </cell>
          <cell r="W23">
            <v>3116438</v>
          </cell>
          <cell r="X23">
            <v>337483</v>
          </cell>
          <cell r="Y23">
            <v>285593</v>
          </cell>
          <cell r="Z23">
            <v>312862</v>
          </cell>
          <cell r="AA23">
            <v>279261</v>
          </cell>
          <cell r="AB23">
            <v>255500</v>
          </cell>
          <cell r="AC23">
            <v>245167</v>
          </cell>
          <cell r="AD23">
            <v>225463</v>
          </cell>
          <cell r="AE23">
            <v>248595</v>
          </cell>
          <cell r="AF23">
            <v>242296</v>
          </cell>
          <cell r="AG23">
            <v>296412</v>
          </cell>
          <cell r="AH23">
            <v>294098</v>
          </cell>
          <cell r="AI23">
            <v>313586</v>
          </cell>
        </row>
        <row r="24">
          <cell r="A24">
            <v>21</v>
          </cell>
          <cell r="B24" t="str">
            <v>Other</v>
          </cell>
          <cell r="D24">
            <v>220541</v>
          </cell>
          <cell r="E24">
            <v>7661</v>
          </cell>
          <cell r="F24">
            <v>4981</v>
          </cell>
          <cell r="G24">
            <v>5217</v>
          </cell>
          <cell r="H24">
            <v>26509</v>
          </cell>
          <cell r="I24">
            <v>18382</v>
          </cell>
          <cell r="J24">
            <v>15624</v>
          </cell>
          <cell r="K24">
            <v>16187</v>
          </cell>
          <cell r="L24">
            <v>21957</v>
          </cell>
          <cell r="M24">
            <v>21491</v>
          </cell>
          <cell r="N24">
            <v>24798</v>
          </cell>
          <cell r="O24">
            <v>24958</v>
          </cell>
          <cell r="P24">
            <v>32776</v>
          </cell>
          <cell r="T24">
            <v>21</v>
          </cell>
          <cell r="U24" t="str">
            <v xml:space="preserve">Interruptible </v>
          </cell>
          <cell r="W24">
            <v>95415</v>
          </cell>
          <cell r="X24">
            <v>4370</v>
          </cell>
          <cell r="Y24">
            <v>3696</v>
          </cell>
          <cell r="Z24">
            <v>4467</v>
          </cell>
          <cell r="AA24">
            <v>5020</v>
          </cell>
          <cell r="AB24">
            <v>6747</v>
          </cell>
          <cell r="AC24">
            <v>6010</v>
          </cell>
          <cell r="AD24">
            <v>8772</v>
          </cell>
          <cell r="AE24">
            <v>9673</v>
          </cell>
          <cell r="AF24">
            <v>8203</v>
          </cell>
          <cell r="AG24">
            <v>8888</v>
          </cell>
          <cell r="AH24">
            <v>7013</v>
          </cell>
          <cell r="AI24">
            <v>7412</v>
          </cell>
        </row>
        <row r="25">
          <cell r="A25">
            <v>22</v>
          </cell>
          <cell r="B25" t="str">
            <v>Total Volume</v>
          </cell>
          <cell r="D25">
            <v>8908587</v>
          </cell>
          <cell r="E25">
            <v>1227614</v>
          </cell>
          <cell r="F25">
            <v>1394025</v>
          </cell>
          <cell r="G25">
            <v>1208766</v>
          </cell>
          <cell r="H25">
            <v>767276</v>
          </cell>
          <cell r="I25">
            <v>480678</v>
          </cell>
          <cell r="J25">
            <v>396968</v>
          </cell>
          <cell r="K25">
            <v>373635</v>
          </cell>
          <cell r="L25">
            <v>385965</v>
          </cell>
          <cell r="M25">
            <v>416948</v>
          </cell>
          <cell r="N25">
            <v>456100</v>
          </cell>
          <cell r="O25">
            <v>716650</v>
          </cell>
          <cell r="P25">
            <v>1083962</v>
          </cell>
          <cell r="T25">
            <v>22</v>
          </cell>
          <cell r="U25" t="str">
            <v>Total Deliveries</v>
          </cell>
          <cell r="W25">
            <v>7960403</v>
          </cell>
          <cell r="X25">
            <v>1572806</v>
          </cell>
          <cell r="Y25">
            <v>1199901</v>
          </cell>
          <cell r="Z25">
            <v>1115383</v>
          </cell>
          <cell r="AA25">
            <v>919734</v>
          </cell>
          <cell r="AB25">
            <v>525771</v>
          </cell>
          <cell r="AC25">
            <v>401022</v>
          </cell>
          <cell r="AD25">
            <v>360607</v>
          </cell>
          <cell r="AE25">
            <v>381735</v>
          </cell>
          <cell r="AF25">
            <v>375891</v>
          </cell>
          <cell r="AG25">
            <v>479930</v>
          </cell>
          <cell r="AH25">
            <v>743753</v>
          </cell>
          <cell r="AI25">
            <v>1127803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57396</v>
          </cell>
          <cell r="F28">
            <v>57614</v>
          </cell>
          <cell r="G28">
            <v>57718</v>
          </cell>
          <cell r="H28">
            <v>57775</v>
          </cell>
          <cell r="I28">
            <v>57776</v>
          </cell>
          <cell r="J28">
            <v>57821</v>
          </cell>
          <cell r="K28">
            <v>57967</v>
          </cell>
          <cell r="L28">
            <v>58148</v>
          </cell>
          <cell r="M28">
            <v>58345</v>
          </cell>
          <cell r="N28">
            <v>59080</v>
          </cell>
          <cell r="O28">
            <v>59673</v>
          </cell>
          <cell r="P28">
            <v>60212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1457957</v>
          </cell>
          <cell r="F29">
            <v>1279724</v>
          </cell>
          <cell r="G29">
            <v>1147664</v>
          </cell>
          <cell r="H29">
            <v>824212</v>
          </cell>
          <cell r="I29">
            <v>527449</v>
          </cell>
          <cell r="J29">
            <v>435902</v>
          </cell>
          <cell r="K29">
            <v>347958</v>
          </cell>
          <cell r="L29">
            <v>385531</v>
          </cell>
          <cell r="M29">
            <v>438989</v>
          </cell>
          <cell r="N29">
            <v>512796</v>
          </cell>
          <cell r="O29">
            <v>672103</v>
          </cell>
          <cell r="P29">
            <v>945492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1508985.4949999999</v>
          </cell>
          <cell r="F30">
            <v>1324514.3399999999</v>
          </cell>
          <cell r="G30">
            <v>1187832.24</v>
          </cell>
          <cell r="H30">
            <v>853059.41999999993</v>
          </cell>
          <cell r="I30">
            <v>545909.71499999997</v>
          </cell>
          <cell r="J30">
            <v>451158.56999999995</v>
          </cell>
          <cell r="K30">
            <v>360136.52999999997</v>
          </cell>
          <cell r="L30">
            <v>399024.58499999996</v>
          </cell>
          <cell r="M30">
            <v>454353.61499999999</v>
          </cell>
          <cell r="N30">
            <v>530743.86</v>
          </cell>
          <cell r="O30">
            <v>695626.60499999998</v>
          </cell>
          <cell r="P30">
            <v>978584.22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52740</v>
          </cell>
          <cell r="F34">
            <v>52840</v>
          </cell>
          <cell r="G34">
            <v>52923</v>
          </cell>
          <cell r="H34">
            <v>52944</v>
          </cell>
          <cell r="I34">
            <v>52948</v>
          </cell>
          <cell r="J34">
            <v>52917</v>
          </cell>
          <cell r="K34">
            <v>52902</v>
          </cell>
          <cell r="L34">
            <v>52903</v>
          </cell>
          <cell r="M34">
            <v>52921</v>
          </cell>
          <cell r="N34">
            <v>52956</v>
          </cell>
          <cell r="O34">
            <v>53052</v>
          </cell>
          <cell r="P34">
            <v>53205</v>
          </cell>
          <cell r="T34">
            <v>31</v>
          </cell>
          <cell r="U34" t="str">
            <v>Residential</v>
          </cell>
          <cell r="X34">
            <v>50133</v>
          </cell>
          <cell r="Y34">
            <v>50226</v>
          </cell>
          <cell r="Z34">
            <v>50283</v>
          </cell>
          <cell r="AA34">
            <v>50334</v>
          </cell>
          <cell r="AB34">
            <v>50344</v>
          </cell>
          <cell r="AC34">
            <v>50338</v>
          </cell>
          <cell r="AD34">
            <v>50330</v>
          </cell>
          <cell r="AE34">
            <v>50336</v>
          </cell>
          <cell r="AF34">
            <v>50367</v>
          </cell>
          <cell r="AG34">
            <v>50422</v>
          </cell>
          <cell r="AH34">
            <v>50533</v>
          </cell>
          <cell r="AI34">
            <v>50675</v>
          </cell>
        </row>
        <row r="35">
          <cell r="A35">
            <v>32</v>
          </cell>
          <cell r="B35" t="str">
            <v>Commercial</v>
          </cell>
          <cell r="E35">
            <v>4149</v>
          </cell>
          <cell r="F35">
            <v>4161</v>
          </cell>
          <cell r="G35">
            <v>4166</v>
          </cell>
          <cell r="H35">
            <v>4163</v>
          </cell>
          <cell r="I35">
            <v>4150</v>
          </cell>
          <cell r="J35">
            <v>4135</v>
          </cell>
          <cell r="K35">
            <v>4123</v>
          </cell>
          <cell r="L35">
            <v>4114</v>
          </cell>
          <cell r="M35">
            <v>4107</v>
          </cell>
          <cell r="N35">
            <v>4101</v>
          </cell>
          <cell r="O35">
            <v>4101</v>
          </cell>
          <cell r="P35">
            <v>4109</v>
          </cell>
          <cell r="T35">
            <v>32</v>
          </cell>
          <cell r="U35" t="str">
            <v>Commercial</v>
          </cell>
          <cell r="X35">
            <v>4075</v>
          </cell>
          <cell r="Y35">
            <v>4080</v>
          </cell>
          <cell r="Z35">
            <v>4086</v>
          </cell>
          <cell r="AA35">
            <v>4085</v>
          </cell>
          <cell r="AB35">
            <v>4074</v>
          </cell>
          <cell r="AC35">
            <v>4060</v>
          </cell>
          <cell r="AD35">
            <v>4048</v>
          </cell>
          <cell r="AE35">
            <v>4038</v>
          </cell>
          <cell r="AF35">
            <v>4029</v>
          </cell>
          <cell r="AG35">
            <v>4022</v>
          </cell>
          <cell r="AH35">
            <v>4023</v>
          </cell>
          <cell r="AI35">
            <v>4030</v>
          </cell>
        </row>
        <row r="36">
          <cell r="A36">
            <v>33</v>
          </cell>
          <cell r="B36" t="str">
            <v xml:space="preserve">Industrial </v>
          </cell>
          <cell r="E36">
            <v>93</v>
          </cell>
          <cell r="F36">
            <v>94</v>
          </cell>
          <cell r="G36">
            <v>95</v>
          </cell>
          <cell r="H36">
            <v>95</v>
          </cell>
          <cell r="I36">
            <v>94</v>
          </cell>
          <cell r="J36">
            <v>94</v>
          </cell>
          <cell r="K36">
            <v>94</v>
          </cell>
          <cell r="L36">
            <v>94</v>
          </cell>
          <cell r="M36">
            <v>94</v>
          </cell>
          <cell r="N36">
            <v>94</v>
          </cell>
          <cell r="O36">
            <v>94</v>
          </cell>
          <cell r="P36">
            <v>95</v>
          </cell>
          <cell r="T36">
            <v>33</v>
          </cell>
          <cell r="U36" t="str">
            <v xml:space="preserve">Industrial </v>
          </cell>
          <cell r="X36">
            <v>88</v>
          </cell>
          <cell r="Y36">
            <v>89</v>
          </cell>
          <cell r="Z36">
            <v>89</v>
          </cell>
          <cell r="AA36">
            <v>89</v>
          </cell>
          <cell r="AB36">
            <v>89</v>
          </cell>
          <cell r="AC36">
            <v>90</v>
          </cell>
          <cell r="AD36">
            <v>90</v>
          </cell>
          <cell r="AE36">
            <v>90</v>
          </cell>
          <cell r="AF36">
            <v>90</v>
          </cell>
          <cell r="AG36">
            <v>91</v>
          </cell>
          <cell r="AH36">
            <v>91</v>
          </cell>
          <cell r="AI36">
            <v>91</v>
          </cell>
        </row>
        <row r="37">
          <cell r="A37">
            <v>34</v>
          </cell>
          <cell r="B37" t="str">
            <v>Other</v>
          </cell>
          <cell r="E37">
            <v>8</v>
          </cell>
          <cell r="F37">
            <v>10</v>
          </cell>
          <cell r="G37">
            <v>9</v>
          </cell>
          <cell r="H37">
            <v>9</v>
          </cell>
          <cell r="I37">
            <v>10</v>
          </cell>
          <cell r="J37">
            <v>12</v>
          </cell>
          <cell r="K37">
            <v>13</v>
          </cell>
          <cell r="L37">
            <v>13</v>
          </cell>
          <cell r="M37">
            <v>14</v>
          </cell>
          <cell r="N37">
            <v>15</v>
          </cell>
          <cell r="O37">
            <v>15</v>
          </cell>
          <cell r="P37">
            <v>15</v>
          </cell>
          <cell r="T37">
            <v>34</v>
          </cell>
          <cell r="U37" t="str">
            <v>Other</v>
          </cell>
          <cell r="X37">
            <v>5</v>
          </cell>
          <cell r="Y37">
            <v>6</v>
          </cell>
          <cell r="Z37">
            <v>6</v>
          </cell>
          <cell r="AA37">
            <v>6</v>
          </cell>
          <cell r="AB37">
            <v>6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56990</v>
          </cell>
          <cell r="F38">
            <v>57105</v>
          </cell>
          <cell r="G38">
            <v>57193</v>
          </cell>
          <cell r="H38">
            <v>57211</v>
          </cell>
          <cell r="I38">
            <v>57202</v>
          </cell>
          <cell r="J38">
            <v>57158</v>
          </cell>
          <cell r="K38">
            <v>57132</v>
          </cell>
          <cell r="L38">
            <v>57124</v>
          </cell>
          <cell r="M38">
            <v>57136</v>
          </cell>
          <cell r="N38">
            <v>57166</v>
          </cell>
          <cell r="O38">
            <v>57262</v>
          </cell>
          <cell r="P38">
            <v>57424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54301</v>
          </cell>
          <cell r="Y38">
            <v>54401</v>
          </cell>
          <cell r="Z38">
            <v>54464</v>
          </cell>
          <cell r="AA38">
            <v>54514</v>
          </cell>
          <cell r="AB38">
            <v>54513</v>
          </cell>
          <cell r="AC38">
            <v>54493</v>
          </cell>
          <cell r="AD38">
            <v>54473</v>
          </cell>
          <cell r="AE38">
            <v>54469</v>
          </cell>
          <cell r="AF38">
            <v>54491</v>
          </cell>
          <cell r="AG38">
            <v>54540</v>
          </cell>
          <cell r="AH38">
            <v>54652</v>
          </cell>
          <cell r="AI38">
            <v>54801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516272</v>
          </cell>
          <cell r="F41">
            <v>1176823</v>
          </cell>
          <cell r="G41">
            <v>1694420</v>
          </cell>
          <cell r="H41">
            <v>1966231</v>
          </cell>
          <cell r="I41">
            <v>2057527</v>
          </cell>
          <cell r="J41">
            <v>2116317</v>
          </cell>
          <cell r="K41">
            <v>2162754</v>
          </cell>
          <cell r="L41">
            <v>2205496</v>
          </cell>
          <cell r="M41">
            <v>2251302</v>
          </cell>
          <cell r="N41">
            <v>2306912</v>
          </cell>
          <cell r="O41">
            <v>2525858</v>
          </cell>
          <cell r="P41">
            <v>2958061</v>
          </cell>
          <cell r="T41">
            <v>38</v>
          </cell>
          <cell r="U41" t="str">
            <v>Residential</v>
          </cell>
          <cell r="X41">
            <v>703234</v>
          </cell>
          <cell r="Y41">
            <v>1242403</v>
          </cell>
          <cell r="Z41">
            <v>1678465</v>
          </cell>
          <cell r="AA41">
            <v>2055617</v>
          </cell>
          <cell r="AB41">
            <v>2194246</v>
          </cell>
          <cell r="AC41">
            <v>2250134</v>
          </cell>
          <cell r="AD41">
            <v>2297201</v>
          </cell>
          <cell r="AE41">
            <v>2337952</v>
          </cell>
          <cell r="AF41">
            <v>2381155</v>
          </cell>
          <cell r="AG41">
            <v>2441863</v>
          </cell>
          <cell r="AH41">
            <v>2657912</v>
          </cell>
          <cell r="AI41">
            <v>3123423</v>
          </cell>
        </row>
        <row r="42">
          <cell r="A42">
            <v>39</v>
          </cell>
          <cell r="B42" t="str">
            <v>Commercial</v>
          </cell>
          <cell r="E42">
            <v>350282</v>
          </cell>
          <cell r="F42">
            <v>733444</v>
          </cell>
          <cell r="G42">
            <v>1069039</v>
          </cell>
          <cell r="H42">
            <v>1256182</v>
          </cell>
          <cell r="I42">
            <v>1369101</v>
          </cell>
          <cell r="J42">
            <v>1459654</v>
          </cell>
          <cell r="K42">
            <v>1539449</v>
          </cell>
          <cell r="L42">
            <v>1620182</v>
          </cell>
          <cell r="M42">
            <v>1705867</v>
          </cell>
          <cell r="N42">
            <v>1810583</v>
          </cell>
          <cell r="O42">
            <v>2006416</v>
          </cell>
          <cell r="P42">
            <v>2321424</v>
          </cell>
          <cell r="T42">
            <v>39</v>
          </cell>
          <cell r="U42" t="str">
            <v>Commercial</v>
          </cell>
          <cell r="X42">
            <v>469375</v>
          </cell>
          <cell r="Y42">
            <v>800822</v>
          </cell>
          <cell r="Z42">
            <v>1127276</v>
          </cell>
          <cell r="AA42">
            <v>1359597</v>
          </cell>
          <cell r="AB42">
            <v>1473696</v>
          </cell>
          <cell r="AC42">
            <v>1561084</v>
          </cell>
          <cell r="AD42">
            <v>1634923</v>
          </cell>
          <cell r="AE42">
            <v>1712697</v>
          </cell>
          <cell r="AF42">
            <v>1789537</v>
          </cell>
          <cell r="AG42">
            <v>1896703</v>
          </cell>
          <cell r="AH42">
            <v>2105668</v>
          </cell>
          <cell r="AI42">
            <v>2413774</v>
          </cell>
        </row>
        <row r="43">
          <cell r="A43">
            <v>40</v>
          </cell>
          <cell r="B43" t="str">
            <v xml:space="preserve">Industrial </v>
          </cell>
          <cell r="E43">
            <v>301266</v>
          </cell>
          <cell r="F43">
            <v>589324</v>
          </cell>
          <cell r="G43">
            <v>890807</v>
          </cell>
          <cell r="H43">
            <v>1143752</v>
          </cell>
          <cell r="I43">
            <v>1384422</v>
          </cell>
          <cell r="J43">
            <v>1602060</v>
          </cell>
          <cell r="K43">
            <v>1819604</v>
          </cell>
          <cell r="L43">
            <v>2044420</v>
          </cell>
          <cell r="M43">
            <v>2293818</v>
          </cell>
          <cell r="N43">
            <v>2548270</v>
          </cell>
          <cell r="O43">
            <v>2799271</v>
          </cell>
          <cell r="P43">
            <v>3067958</v>
          </cell>
          <cell r="T43">
            <v>40</v>
          </cell>
          <cell r="U43" t="str">
            <v xml:space="preserve">Industrial </v>
          </cell>
          <cell r="X43">
            <v>321487</v>
          </cell>
          <cell r="Y43">
            <v>594536</v>
          </cell>
          <cell r="Z43">
            <v>893466</v>
          </cell>
          <cell r="AA43">
            <v>1161309</v>
          </cell>
          <cell r="AB43">
            <v>1406341</v>
          </cell>
          <cell r="AC43">
            <v>1640760</v>
          </cell>
          <cell r="AD43">
            <v>1856470</v>
          </cell>
          <cell r="AE43">
            <v>2095114</v>
          </cell>
          <cell r="AF43">
            <v>2327074</v>
          </cell>
          <cell r="AG43">
            <v>2612019</v>
          </cell>
          <cell r="AH43">
            <v>2894405</v>
          </cell>
          <cell r="AI43">
            <v>3195092</v>
          </cell>
        </row>
        <row r="44">
          <cell r="A44">
            <v>41</v>
          </cell>
          <cell r="B44" t="str">
            <v>Other</v>
          </cell>
          <cell r="E44">
            <v>7334</v>
          </cell>
          <cell r="F44">
            <v>12110</v>
          </cell>
          <cell r="G44">
            <v>17115</v>
          </cell>
          <cell r="H44">
            <v>42591</v>
          </cell>
          <cell r="I44">
            <v>60281</v>
          </cell>
          <cell r="J44">
            <v>75317</v>
          </cell>
          <cell r="K44">
            <v>90885</v>
          </cell>
          <cell r="L44">
            <v>111894</v>
          </cell>
          <cell r="M44">
            <v>132593</v>
          </cell>
          <cell r="N44">
            <v>156441</v>
          </cell>
          <cell r="O44">
            <v>180464</v>
          </cell>
          <cell r="P44">
            <v>212140</v>
          </cell>
          <cell r="T44">
            <v>41</v>
          </cell>
          <cell r="U44" t="str">
            <v>Other</v>
          </cell>
          <cell r="X44">
            <v>4163</v>
          </cell>
          <cell r="Y44">
            <v>7697</v>
          </cell>
          <cell r="Z44">
            <v>11965</v>
          </cell>
          <cell r="AA44">
            <v>16780</v>
          </cell>
          <cell r="AB44">
            <v>23251</v>
          </cell>
          <cell r="AC44">
            <v>28998</v>
          </cell>
          <cell r="AD44">
            <v>37391</v>
          </cell>
          <cell r="AE44">
            <v>46677</v>
          </cell>
          <cell r="AF44">
            <v>54530</v>
          </cell>
          <cell r="AG44">
            <v>63074</v>
          </cell>
          <cell r="AH44">
            <v>69808</v>
          </cell>
          <cell r="AI44">
            <v>76915</v>
          </cell>
        </row>
        <row r="45">
          <cell r="A45">
            <v>42</v>
          </cell>
          <cell r="B45" t="str">
            <v>Total Volume</v>
          </cell>
          <cell r="E45">
            <v>1175154</v>
          </cell>
          <cell r="F45">
            <v>2511701</v>
          </cell>
          <cell r="G45">
            <v>3671381</v>
          </cell>
          <cell r="H45">
            <v>4408756</v>
          </cell>
          <cell r="I45">
            <v>4871331</v>
          </cell>
          <cell r="J45">
            <v>5253348</v>
          </cell>
          <cell r="K45">
            <v>5612692</v>
          </cell>
          <cell r="L45">
            <v>5981992</v>
          </cell>
          <cell r="M45">
            <v>6383580</v>
          </cell>
          <cell r="N45">
            <v>6822206</v>
          </cell>
          <cell r="O45">
            <v>7512009</v>
          </cell>
          <cell r="P45">
            <v>8559583</v>
          </cell>
          <cell r="T45">
            <v>42</v>
          </cell>
          <cell r="U45" t="str">
            <v>Total Volume</v>
          </cell>
          <cell r="X45">
            <v>1498259</v>
          </cell>
          <cell r="Y45">
            <v>2645458</v>
          </cell>
          <cell r="Z45">
            <v>3711172</v>
          </cell>
          <cell r="AA45">
            <v>4593303</v>
          </cell>
          <cell r="AB45">
            <v>5097534</v>
          </cell>
          <cell r="AC45">
            <v>5480976</v>
          </cell>
          <cell r="AD45">
            <v>5825985</v>
          </cell>
          <cell r="AE45">
            <v>6192440</v>
          </cell>
          <cell r="AF45">
            <v>6552296</v>
          </cell>
          <cell r="AG45">
            <v>7013659</v>
          </cell>
          <cell r="AH45">
            <v>7727793</v>
          </cell>
          <cell r="AI45">
            <v>8809204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- 2018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539319</v>
          </cell>
          <cell r="F48">
            <v>1228277</v>
          </cell>
          <cell r="G48">
            <v>1767782</v>
          </cell>
          <cell r="H48">
            <v>2050615</v>
          </cell>
          <cell r="I48">
            <v>2145484</v>
          </cell>
          <cell r="J48">
            <v>2206575</v>
          </cell>
          <cell r="K48">
            <v>2254859</v>
          </cell>
          <cell r="L48">
            <v>2299530</v>
          </cell>
          <cell r="M48">
            <v>2347088</v>
          </cell>
          <cell r="N48">
            <v>2404913</v>
          </cell>
          <cell r="O48">
            <v>2632380</v>
          </cell>
          <cell r="P48">
            <v>3079596</v>
          </cell>
          <cell r="T48">
            <v>45</v>
          </cell>
          <cell r="U48" t="str">
            <v>Residential</v>
          </cell>
          <cell r="X48">
            <v>738224</v>
          </cell>
          <cell r="Y48">
            <v>1302162</v>
          </cell>
          <cell r="Z48">
            <v>1758547</v>
          </cell>
          <cell r="AA48">
            <v>2151776</v>
          </cell>
          <cell r="AB48">
            <v>2296327</v>
          </cell>
          <cell r="AC48">
            <v>2354777</v>
          </cell>
          <cell r="AD48">
            <v>2403972</v>
          </cell>
          <cell r="AE48">
            <v>2446422</v>
          </cell>
          <cell r="AF48">
            <v>2491550</v>
          </cell>
          <cell r="AG48">
            <v>2554701</v>
          </cell>
          <cell r="AH48">
            <v>2779711</v>
          </cell>
          <cell r="AI48">
            <v>3265192</v>
          </cell>
        </row>
        <row r="49">
          <cell r="A49">
            <v>46</v>
          </cell>
          <cell r="B49" t="str">
            <v>Commercial</v>
          </cell>
          <cell r="E49">
            <v>365919</v>
          </cell>
          <cell r="F49">
            <v>765559</v>
          </cell>
          <cell r="G49">
            <v>1115359</v>
          </cell>
          <cell r="H49">
            <v>1310091</v>
          </cell>
          <cell r="I49">
            <v>1427429</v>
          </cell>
          <cell r="J49">
            <v>1521526</v>
          </cell>
          <cell r="K49">
            <v>1604494</v>
          </cell>
          <cell r="L49">
            <v>1688870</v>
          </cell>
          <cell r="M49">
            <v>1777832</v>
          </cell>
          <cell r="N49">
            <v>1886720</v>
          </cell>
          <cell r="O49">
            <v>2090175</v>
          </cell>
          <cell r="P49">
            <v>2416125</v>
          </cell>
          <cell r="T49">
            <v>46</v>
          </cell>
          <cell r="U49" t="str">
            <v>Commercial</v>
          </cell>
          <cell r="X49">
            <v>492729</v>
          </cell>
          <cell r="Y49">
            <v>839403</v>
          </cell>
          <cell r="Z49">
            <v>1181072</v>
          </cell>
          <cell r="AA49">
            <v>1423296</v>
          </cell>
          <cell r="AB49">
            <v>1542269</v>
          </cell>
          <cell r="AC49">
            <v>1633664</v>
          </cell>
          <cell r="AD49">
            <v>1710841</v>
          </cell>
          <cell r="AE49">
            <v>1791858</v>
          </cell>
          <cell r="AF49">
            <v>1872122</v>
          </cell>
          <cell r="AG49">
            <v>1983601</v>
          </cell>
          <cell r="AH49">
            <v>2201233</v>
          </cell>
          <cell r="AI49">
            <v>2522557</v>
          </cell>
        </row>
        <row r="50">
          <cell r="A50">
            <v>47</v>
          </cell>
          <cell r="B50" t="str">
            <v xml:space="preserve">Industrial </v>
          </cell>
          <cell r="E50">
            <v>314715</v>
          </cell>
          <cell r="F50">
            <v>615161</v>
          </cell>
          <cell r="G50">
            <v>929405</v>
          </cell>
          <cell r="H50">
            <v>1192607</v>
          </cell>
          <cell r="I50">
            <v>1442696</v>
          </cell>
          <cell r="J50">
            <v>1668852</v>
          </cell>
          <cell r="K50">
            <v>1895048</v>
          </cell>
          <cell r="L50">
            <v>2130009</v>
          </cell>
          <cell r="M50">
            <v>2388946</v>
          </cell>
          <cell r="N50">
            <v>2653535</v>
          </cell>
          <cell r="O50">
            <v>2914305</v>
          </cell>
          <cell r="P50">
            <v>3192325</v>
          </cell>
          <cell r="T50">
            <v>47</v>
          </cell>
          <cell r="U50" t="str">
            <v xml:space="preserve">Industrial </v>
          </cell>
          <cell r="X50">
            <v>337483</v>
          </cell>
          <cell r="Y50">
            <v>623076</v>
          </cell>
          <cell r="Z50">
            <v>935938</v>
          </cell>
          <cell r="AA50">
            <v>1215199</v>
          </cell>
          <cell r="AB50">
            <v>1470699</v>
          </cell>
          <cell r="AC50">
            <v>1715866</v>
          </cell>
          <cell r="AD50">
            <v>1941329</v>
          </cell>
          <cell r="AE50">
            <v>2189924</v>
          </cell>
          <cell r="AF50">
            <v>2432220</v>
          </cell>
          <cell r="AG50">
            <v>2728632</v>
          </cell>
          <cell r="AH50">
            <v>3022730</v>
          </cell>
          <cell r="AI50">
            <v>3336316</v>
          </cell>
        </row>
        <row r="51">
          <cell r="A51">
            <v>48</v>
          </cell>
          <cell r="B51" t="str">
            <v>Other</v>
          </cell>
          <cell r="E51">
            <v>7661</v>
          </cell>
          <cell r="F51">
            <v>12642</v>
          </cell>
          <cell r="G51">
            <v>17859</v>
          </cell>
          <cell r="H51">
            <v>44368</v>
          </cell>
          <cell r="I51">
            <v>62750</v>
          </cell>
          <cell r="J51">
            <v>78374</v>
          </cell>
          <cell r="K51">
            <v>94561</v>
          </cell>
          <cell r="L51">
            <v>116518</v>
          </cell>
          <cell r="M51">
            <v>138009</v>
          </cell>
          <cell r="N51">
            <v>162807</v>
          </cell>
          <cell r="O51">
            <v>187765</v>
          </cell>
          <cell r="P51">
            <v>220541</v>
          </cell>
          <cell r="T51">
            <v>48</v>
          </cell>
          <cell r="U51" t="str">
            <v>Other</v>
          </cell>
          <cell r="X51">
            <v>4370</v>
          </cell>
          <cell r="Y51">
            <v>8066</v>
          </cell>
          <cell r="Z51">
            <v>12533</v>
          </cell>
          <cell r="AA51">
            <v>17553</v>
          </cell>
          <cell r="AB51">
            <v>24300</v>
          </cell>
          <cell r="AC51">
            <v>30310</v>
          </cell>
          <cell r="AD51">
            <v>39082</v>
          </cell>
          <cell r="AE51">
            <v>48755</v>
          </cell>
          <cell r="AF51">
            <v>56958</v>
          </cell>
          <cell r="AG51">
            <v>65846</v>
          </cell>
          <cell r="AH51">
            <v>72859</v>
          </cell>
          <cell r="AI51">
            <v>80271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1227614</v>
          </cell>
          <cell r="F52">
            <v>2621639</v>
          </cell>
          <cell r="G52">
            <v>3830405</v>
          </cell>
          <cell r="H52">
            <v>4597681</v>
          </cell>
          <cell r="I52">
            <v>5078359</v>
          </cell>
          <cell r="J52">
            <v>5475327</v>
          </cell>
          <cell r="K52">
            <v>5848962</v>
          </cell>
          <cell r="L52">
            <v>6234927</v>
          </cell>
          <cell r="M52">
            <v>6651875</v>
          </cell>
          <cell r="N52">
            <v>7107975</v>
          </cell>
          <cell r="O52">
            <v>7824625</v>
          </cell>
          <cell r="P52">
            <v>8908587</v>
          </cell>
          <cell r="T52">
            <v>49</v>
          </cell>
          <cell r="U52" t="str">
            <v>Total Volume</v>
          </cell>
          <cell r="W52">
            <v>0</v>
          </cell>
          <cell r="X52">
            <v>1572806</v>
          </cell>
          <cell r="Y52">
            <v>2772707</v>
          </cell>
          <cell r="Z52">
            <v>3888090</v>
          </cell>
          <cell r="AA52">
            <v>4807824</v>
          </cell>
          <cell r="AB52">
            <v>5333595</v>
          </cell>
          <cell r="AC52">
            <v>5734617</v>
          </cell>
          <cell r="AD52">
            <v>6095224</v>
          </cell>
          <cell r="AE52">
            <v>6476959</v>
          </cell>
          <cell r="AF52">
            <v>6852850</v>
          </cell>
          <cell r="AG52">
            <v>7332780</v>
          </cell>
          <cell r="AH52">
            <v>8076533</v>
          </cell>
          <cell r="AI52">
            <v>9204336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57396</v>
          </cell>
          <cell r="F55">
            <v>57505</v>
          </cell>
          <cell r="G55">
            <v>57576</v>
          </cell>
          <cell r="H55">
            <v>57626</v>
          </cell>
          <cell r="I55">
            <v>57656</v>
          </cell>
          <cell r="J55">
            <v>57683</v>
          </cell>
          <cell r="K55">
            <v>57724</v>
          </cell>
          <cell r="L55">
            <v>57777</v>
          </cell>
          <cell r="M55">
            <v>57840</v>
          </cell>
          <cell r="N55">
            <v>57964</v>
          </cell>
          <cell r="O55">
            <v>58119</v>
          </cell>
          <cell r="P55">
            <v>58294</v>
          </cell>
        </row>
        <row r="56">
          <cell r="A56">
            <v>53</v>
          </cell>
          <cell r="B56" t="str">
            <v>Cumulative Budget YTD Volume (Mcfs)</v>
          </cell>
          <cell r="E56">
            <v>1457957</v>
          </cell>
          <cell r="F56">
            <v>2737681</v>
          </cell>
          <cell r="G56">
            <v>3885345</v>
          </cell>
          <cell r="H56">
            <v>4709557</v>
          </cell>
          <cell r="I56">
            <v>5237006</v>
          </cell>
          <cell r="J56">
            <v>5672908</v>
          </cell>
          <cell r="K56">
            <v>6020866</v>
          </cell>
          <cell r="L56">
            <v>6406397</v>
          </cell>
          <cell r="M56">
            <v>6845386</v>
          </cell>
          <cell r="N56">
            <v>7358182</v>
          </cell>
          <cell r="O56">
            <v>8030285</v>
          </cell>
          <cell r="P56">
            <v>8975777</v>
          </cell>
        </row>
        <row r="57">
          <cell r="A57">
            <v>54</v>
          </cell>
          <cell r="B57" t="str">
            <v>Cumulative YTD Budget Volume (Dts) * 1.035</v>
          </cell>
          <cell r="E57">
            <v>1508985.4949999999</v>
          </cell>
          <cell r="F57">
            <v>2833499.835</v>
          </cell>
          <cell r="G57">
            <v>4021332.0750000002</v>
          </cell>
          <cell r="H57">
            <v>4874391.4950000001</v>
          </cell>
          <cell r="I57">
            <v>5420301.21</v>
          </cell>
          <cell r="J57">
            <v>5871459.7800000003</v>
          </cell>
          <cell r="K57">
            <v>6231596.3100000005</v>
          </cell>
          <cell r="L57">
            <v>6630620.8950000005</v>
          </cell>
          <cell r="M57">
            <v>7084974.5100000007</v>
          </cell>
          <cell r="N57">
            <v>7615718.370000001</v>
          </cell>
          <cell r="O57">
            <v>8311344.9750000015</v>
          </cell>
          <cell r="P57">
            <v>9289929.1950000022</v>
          </cell>
        </row>
      </sheetData>
      <sheetData sheetId="12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11119.083333333334</v>
          </cell>
          <cell r="E5">
            <v>11334</v>
          </cell>
          <cell r="F5">
            <v>11381</v>
          </cell>
          <cell r="G5">
            <v>11352</v>
          </cell>
          <cell r="H5">
            <v>11320</v>
          </cell>
          <cell r="I5">
            <v>11103</v>
          </cell>
          <cell r="J5">
            <v>10916</v>
          </cell>
          <cell r="K5">
            <v>10908</v>
          </cell>
          <cell r="L5">
            <v>10855</v>
          </cell>
          <cell r="M5">
            <v>10882</v>
          </cell>
          <cell r="N5">
            <v>10910</v>
          </cell>
          <cell r="O5">
            <v>11088</v>
          </cell>
          <cell r="P5">
            <v>11380</v>
          </cell>
          <cell r="T5">
            <v>2</v>
          </cell>
          <cell r="U5" t="str">
            <v>Residential</v>
          </cell>
          <cell r="V5">
            <v>11032</v>
          </cell>
          <cell r="W5">
            <v>132378</v>
          </cell>
          <cell r="X5">
            <v>11277</v>
          </cell>
          <cell r="Y5">
            <v>11332</v>
          </cell>
          <cell r="Z5">
            <v>11301</v>
          </cell>
          <cell r="AA5">
            <v>11229</v>
          </cell>
          <cell r="AB5">
            <v>11065</v>
          </cell>
          <cell r="AC5">
            <v>10853</v>
          </cell>
          <cell r="AD5">
            <v>10796</v>
          </cell>
          <cell r="AE5">
            <v>10778</v>
          </cell>
          <cell r="AF5">
            <v>10763</v>
          </cell>
          <cell r="AG5">
            <v>10775</v>
          </cell>
          <cell r="AH5">
            <v>10993</v>
          </cell>
          <cell r="AI5">
            <v>11216</v>
          </cell>
        </row>
        <row r="6">
          <cell r="A6">
            <v>3</v>
          </cell>
          <cell r="B6" t="str">
            <v>Commercial</v>
          </cell>
          <cell r="D6">
            <v>1896.75</v>
          </cell>
          <cell r="E6">
            <v>1911</v>
          </cell>
          <cell r="F6">
            <v>1918</v>
          </cell>
          <cell r="G6">
            <v>1921</v>
          </cell>
          <cell r="H6">
            <v>1907</v>
          </cell>
          <cell r="I6">
            <v>1890</v>
          </cell>
          <cell r="J6">
            <v>1880</v>
          </cell>
          <cell r="K6">
            <v>1877</v>
          </cell>
          <cell r="L6">
            <v>1879</v>
          </cell>
          <cell r="M6">
            <v>1875</v>
          </cell>
          <cell r="N6">
            <v>1881</v>
          </cell>
          <cell r="O6">
            <v>1896</v>
          </cell>
          <cell r="P6">
            <v>1926</v>
          </cell>
          <cell r="T6">
            <v>3</v>
          </cell>
          <cell r="U6" t="str">
            <v>Commercial</v>
          </cell>
          <cell r="V6">
            <v>1874</v>
          </cell>
          <cell r="W6">
            <v>22486</v>
          </cell>
          <cell r="X6">
            <v>1888</v>
          </cell>
          <cell r="Y6">
            <v>1900</v>
          </cell>
          <cell r="Z6">
            <v>1905</v>
          </cell>
          <cell r="AA6">
            <v>1901</v>
          </cell>
          <cell r="AB6">
            <v>1880</v>
          </cell>
          <cell r="AC6">
            <v>1852</v>
          </cell>
          <cell r="AD6">
            <v>1837</v>
          </cell>
          <cell r="AE6">
            <v>1852</v>
          </cell>
          <cell r="AF6">
            <v>1844</v>
          </cell>
          <cell r="AG6">
            <v>1853</v>
          </cell>
          <cell r="AH6">
            <v>1883</v>
          </cell>
          <cell r="AI6">
            <v>1891</v>
          </cell>
        </row>
        <row r="7">
          <cell r="A7">
            <v>4</v>
          </cell>
          <cell r="B7" t="str">
            <v xml:space="preserve">Industrial </v>
          </cell>
          <cell r="D7">
            <v>45.583333333333336</v>
          </cell>
          <cell r="E7">
            <v>45</v>
          </cell>
          <cell r="F7">
            <v>46</v>
          </cell>
          <cell r="G7">
            <v>46</v>
          </cell>
          <cell r="H7">
            <v>47</v>
          </cell>
          <cell r="I7">
            <v>47</v>
          </cell>
          <cell r="J7">
            <v>45</v>
          </cell>
          <cell r="K7">
            <v>45</v>
          </cell>
          <cell r="L7">
            <v>45</v>
          </cell>
          <cell r="M7">
            <v>45</v>
          </cell>
          <cell r="N7">
            <v>45</v>
          </cell>
          <cell r="O7">
            <v>45</v>
          </cell>
          <cell r="P7">
            <v>46</v>
          </cell>
          <cell r="T7">
            <v>4</v>
          </cell>
          <cell r="U7" t="str">
            <v xml:space="preserve">Industrial </v>
          </cell>
          <cell r="V7">
            <v>44</v>
          </cell>
          <cell r="W7">
            <v>532</v>
          </cell>
          <cell r="X7">
            <v>44</v>
          </cell>
          <cell r="Y7">
            <v>44</v>
          </cell>
          <cell r="Z7">
            <v>44</v>
          </cell>
          <cell r="AA7">
            <v>44</v>
          </cell>
          <cell r="AB7">
            <v>44</v>
          </cell>
          <cell r="AC7">
            <v>44</v>
          </cell>
          <cell r="AD7">
            <v>48</v>
          </cell>
          <cell r="AE7">
            <v>44</v>
          </cell>
          <cell r="AF7">
            <v>44</v>
          </cell>
          <cell r="AG7">
            <v>44</v>
          </cell>
          <cell r="AH7">
            <v>44</v>
          </cell>
          <cell r="AI7">
            <v>44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13061.416666666668</v>
          </cell>
          <cell r="E9">
            <v>13290</v>
          </cell>
          <cell r="F9">
            <v>13345</v>
          </cell>
          <cell r="G9">
            <v>13319</v>
          </cell>
          <cell r="H9">
            <v>13274</v>
          </cell>
          <cell r="I9">
            <v>13040</v>
          </cell>
          <cell r="J9">
            <v>12841</v>
          </cell>
          <cell r="K9">
            <v>12830</v>
          </cell>
          <cell r="L9">
            <v>12779</v>
          </cell>
          <cell r="M9">
            <v>12802</v>
          </cell>
          <cell r="N9">
            <v>12836</v>
          </cell>
          <cell r="O9">
            <v>13029</v>
          </cell>
          <cell r="P9">
            <v>13352</v>
          </cell>
          <cell r="T9">
            <v>6</v>
          </cell>
          <cell r="U9" t="str">
            <v>Total customers</v>
          </cell>
          <cell r="V9">
            <v>12950</v>
          </cell>
          <cell r="W9">
            <v>155396</v>
          </cell>
          <cell r="X9">
            <v>13209</v>
          </cell>
          <cell r="Y9">
            <v>13276</v>
          </cell>
          <cell r="Z9">
            <v>13250</v>
          </cell>
          <cell r="AA9">
            <v>13174</v>
          </cell>
          <cell r="AB9">
            <v>12989</v>
          </cell>
          <cell r="AC9">
            <v>12749</v>
          </cell>
          <cell r="AD9">
            <v>12681</v>
          </cell>
          <cell r="AE9">
            <v>12674</v>
          </cell>
          <cell r="AF9">
            <v>12651</v>
          </cell>
          <cell r="AG9">
            <v>12672</v>
          </cell>
          <cell r="AH9">
            <v>12920</v>
          </cell>
          <cell r="AI9">
            <v>13151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- 2019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517026</v>
          </cell>
          <cell r="E12">
            <v>93133</v>
          </cell>
          <cell r="F12">
            <v>109372</v>
          </cell>
          <cell r="G12">
            <v>94753</v>
          </cell>
          <cell r="H12">
            <v>50208</v>
          </cell>
          <cell r="I12">
            <v>15470</v>
          </cell>
          <cell r="J12">
            <v>9690</v>
          </cell>
          <cell r="K12">
            <v>8015</v>
          </cell>
          <cell r="L12">
            <v>7530</v>
          </cell>
          <cell r="M12">
            <v>8409</v>
          </cell>
          <cell r="N12">
            <v>10158</v>
          </cell>
          <cell r="O12">
            <v>36511</v>
          </cell>
          <cell r="P12">
            <v>73777</v>
          </cell>
          <cell r="T12">
            <v>9</v>
          </cell>
          <cell r="U12" t="str">
            <v>Residential</v>
          </cell>
          <cell r="W12">
            <v>562939</v>
          </cell>
          <cell r="X12">
            <v>132506</v>
          </cell>
          <cell r="Y12">
            <v>96748</v>
          </cell>
          <cell r="Z12">
            <v>81012</v>
          </cell>
          <cell r="AA12">
            <v>70027</v>
          </cell>
          <cell r="AB12">
            <v>25704</v>
          </cell>
          <cell r="AC12">
            <v>9614</v>
          </cell>
          <cell r="AD12">
            <v>8606</v>
          </cell>
          <cell r="AE12">
            <v>7945</v>
          </cell>
          <cell r="AF12">
            <v>7970</v>
          </cell>
          <cell r="AG12">
            <v>11051</v>
          </cell>
          <cell r="AH12">
            <v>36317</v>
          </cell>
          <cell r="AI12">
            <v>75439</v>
          </cell>
        </row>
        <row r="13">
          <cell r="A13">
            <v>10</v>
          </cell>
          <cell r="B13" t="str">
            <v>Commercial</v>
          </cell>
          <cell r="C13">
            <v>1036585</v>
          </cell>
          <cell r="E13">
            <v>150035</v>
          </cell>
          <cell r="F13">
            <v>148120</v>
          </cell>
          <cell r="G13">
            <v>134246</v>
          </cell>
          <cell r="H13">
            <v>85915</v>
          </cell>
          <cell r="I13">
            <v>62023</v>
          </cell>
          <cell r="J13">
            <v>47146</v>
          </cell>
          <cell r="K13">
            <v>47510</v>
          </cell>
          <cell r="L13">
            <v>42293</v>
          </cell>
          <cell r="M13">
            <v>49291</v>
          </cell>
          <cell r="N13">
            <v>56412</v>
          </cell>
          <cell r="O13">
            <v>86133</v>
          </cell>
          <cell r="P13">
            <v>127461</v>
          </cell>
          <cell r="T13">
            <v>10</v>
          </cell>
          <cell r="U13" t="str">
            <v>Commercial</v>
          </cell>
          <cell r="W13">
            <v>869437</v>
          </cell>
          <cell r="X13">
            <v>160378</v>
          </cell>
          <cell r="Y13">
            <v>115380</v>
          </cell>
          <cell r="Z13">
            <v>113182</v>
          </cell>
          <cell r="AA13">
            <v>85235</v>
          </cell>
          <cell r="AB13">
            <v>45111</v>
          </cell>
          <cell r="AC13">
            <v>32341</v>
          </cell>
          <cell r="AD13">
            <v>30120</v>
          </cell>
          <cell r="AE13">
            <v>32649</v>
          </cell>
          <cell r="AF13">
            <v>30853</v>
          </cell>
          <cell r="AG13">
            <v>42613</v>
          </cell>
          <cell r="AH13">
            <v>73346</v>
          </cell>
          <cell r="AI13">
            <v>108229</v>
          </cell>
        </row>
        <row r="14">
          <cell r="A14">
            <v>11</v>
          </cell>
          <cell r="B14" t="str">
            <v xml:space="preserve">Industrial </v>
          </cell>
          <cell r="C14">
            <v>1772583</v>
          </cell>
          <cell r="E14">
            <v>166151</v>
          </cell>
          <cell r="F14">
            <v>152731</v>
          </cell>
          <cell r="G14">
            <v>161594</v>
          </cell>
          <cell r="H14">
            <v>140926</v>
          </cell>
          <cell r="I14">
            <v>117815</v>
          </cell>
          <cell r="J14">
            <v>124663</v>
          </cell>
          <cell r="K14">
            <v>138652</v>
          </cell>
          <cell r="L14">
            <v>142014</v>
          </cell>
          <cell r="M14">
            <v>136086</v>
          </cell>
          <cell r="N14">
            <v>168238</v>
          </cell>
          <cell r="O14">
            <v>158134</v>
          </cell>
          <cell r="P14">
            <v>165579</v>
          </cell>
          <cell r="T14">
            <v>11</v>
          </cell>
          <cell r="U14" t="str">
            <v xml:space="preserve">Industrial </v>
          </cell>
          <cell r="W14">
            <v>1893278</v>
          </cell>
          <cell r="X14">
            <v>173051</v>
          </cell>
          <cell r="Y14">
            <v>153884</v>
          </cell>
          <cell r="Z14">
            <v>169989</v>
          </cell>
          <cell r="AA14">
            <v>152998</v>
          </cell>
          <cell r="AB14">
            <v>143680</v>
          </cell>
          <cell r="AC14">
            <v>151497</v>
          </cell>
          <cell r="AD14">
            <v>134847</v>
          </cell>
          <cell r="AE14">
            <v>153262</v>
          </cell>
          <cell r="AF14">
            <v>139779</v>
          </cell>
          <cell r="AG14">
            <v>166843</v>
          </cell>
          <cell r="AH14">
            <v>176902</v>
          </cell>
          <cell r="AI14">
            <v>176546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3326194</v>
          </cell>
          <cell r="E16">
            <v>409319</v>
          </cell>
          <cell r="F16">
            <v>410223</v>
          </cell>
          <cell r="G16">
            <v>390593</v>
          </cell>
          <cell r="H16">
            <v>277049</v>
          </cell>
          <cell r="I16">
            <v>195308</v>
          </cell>
          <cell r="J16">
            <v>181499</v>
          </cell>
          <cell r="K16">
            <v>194177</v>
          </cell>
          <cell r="L16">
            <v>191837</v>
          </cell>
          <cell r="M16">
            <v>193786</v>
          </cell>
          <cell r="N16">
            <v>234808</v>
          </cell>
          <cell r="O16">
            <v>280778</v>
          </cell>
          <cell r="P16">
            <v>366817</v>
          </cell>
          <cell r="T16">
            <v>13</v>
          </cell>
          <cell r="U16" t="str">
            <v>Total Deliveries</v>
          </cell>
          <cell r="W16">
            <v>3325654</v>
          </cell>
          <cell r="X16">
            <v>465935</v>
          </cell>
          <cell r="Y16">
            <v>366012</v>
          </cell>
          <cell r="Z16">
            <v>364183</v>
          </cell>
          <cell r="AA16">
            <v>308260</v>
          </cell>
          <cell r="AB16">
            <v>214495</v>
          </cell>
          <cell r="AC16">
            <v>193452</v>
          </cell>
          <cell r="AD16">
            <v>173573</v>
          </cell>
          <cell r="AE16">
            <v>193856</v>
          </cell>
          <cell r="AF16">
            <v>178602</v>
          </cell>
          <cell r="AG16">
            <v>220507</v>
          </cell>
          <cell r="AH16">
            <v>286565</v>
          </cell>
          <cell r="AI16">
            <v>360214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538287</v>
          </cell>
          <cell r="E21">
            <v>97291</v>
          </cell>
          <cell r="F21">
            <v>114076</v>
          </cell>
          <cell r="G21">
            <v>98764</v>
          </cell>
          <cell r="H21">
            <v>52244</v>
          </cell>
          <cell r="I21">
            <v>16075</v>
          </cell>
          <cell r="J21">
            <v>10067</v>
          </cell>
          <cell r="K21">
            <v>8334</v>
          </cell>
          <cell r="L21">
            <v>7870</v>
          </cell>
          <cell r="M21">
            <v>8731</v>
          </cell>
          <cell r="N21">
            <v>10563</v>
          </cell>
          <cell r="O21">
            <v>37932</v>
          </cell>
          <cell r="P21">
            <v>76340</v>
          </cell>
          <cell r="T21">
            <v>18</v>
          </cell>
          <cell r="U21" t="str">
            <v>Residential</v>
          </cell>
          <cell r="W21">
            <v>588539</v>
          </cell>
          <cell r="X21">
            <v>139099</v>
          </cell>
          <cell r="Y21">
            <v>101193</v>
          </cell>
          <cell r="Z21">
            <v>84788</v>
          </cell>
          <cell r="AA21">
            <v>73012</v>
          </cell>
          <cell r="AB21">
            <v>26802</v>
          </cell>
          <cell r="AC21">
            <v>10055</v>
          </cell>
          <cell r="AD21">
            <v>8995</v>
          </cell>
          <cell r="AE21">
            <v>8276</v>
          </cell>
          <cell r="AF21">
            <v>8325</v>
          </cell>
          <cell r="AG21">
            <v>11496</v>
          </cell>
          <cell r="AH21">
            <v>37823</v>
          </cell>
          <cell r="AI21">
            <v>78675</v>
          </cell>
        </row>
        <row r="22">
          <cell r="A22">
            <v>19</v>
          </cell>
          <cell r="B22" t="str">
            <v>Commercial</v>
          </cell>
          <cell r="D22">
            <v>1078790</v>
          </cell>
          <cell r="E22">
            <v>156733</v>
          </cell>
          <cell r="F22">
            <v>154490</v>
          </cell>
          <cell r="G22">
            <v>139928</v>
          </cell>
          <cell r="H22">
            <v>89399</v>
          </cell>
          <cell r="I22">
            <v>64450</v>
          </cell>
          <cell r="J22">
            <v>48981</v>
          </cell>
          <cell r="K22">
            <v>49399</v>
          </cell>
          <cell r="L22">
            <v>44202</v>
          </cell>
          <cell r="M22">
            <v>51176</v>
          </cell>
          <cell r="N22">
            <v>58659</v>
          </cell>
          <cell r="O22">
            <v>89485</v>
          </cell>
          <cell r="P22">
            <v>131888</v>
          </cell>
          <cell r="T22">
            <v>19</v>
          </cell>
          <cell r="U22" t="str">
            <v>Commercial</v>
          </cell>
          <cell r="W22">
            <v>908534</v>
          </cell>
          <cell r="X22">
            <v>168358</v>
          </cell>
          <cell r="Y22">
            <v>120681</v>
          </cell>
          <cell r="Z22">
            <v>118457</v>
          </cell>
          <cell r="AA22">
            <v>88868</v>
          </cell>
          <cell r="AB22">
            <v>47038</v>
          </cell>
          <cell r="AC22">
            <v>33824</v>
          </cell>
          <cell r="AD22">
            <v>31482</v>
          </cell>
          <cell r="AE22">
            <v>34010</v>
          </cell>
          <cell r="AF22">
            <v>32228</v>
          </cell>
          <cell r="AG22">
            <v>44328</v>
          </cell>
          <cell r="AH22">
            <v>76388</v>
          </cell>
          <cell r="AI22">
            <v>112872</v>
          </cell>
        </row>
        <row r="23">
          <cell r="A23">
            <v>20</v>
          </cell>
          <cell r="B23" t="str">
            <v xml:space="preserve">Industrial </v>
          </cell>
          <cell r="D23">
            <v>1844323</v>
          </cell>
          <cell r="E23">
            <v>173568</v>
          </cell>
          <cell r="F23">
            <v>159299</v>
          </cell>
          <cell r="G23">
            <v>168434</v>
          </cell>
          <cell r="H23">
            <v>146641</v>
          </cell>
          <cell r="I23">
            <v>122426</v>
          </cell>
          <cell r="J23">
            <v>129516</v>
          </cell>
          <cell r="K23">
            <v>144166</v>
          </cell>
          <cell r="L23">
            <v>148423</v>
          </cell>
          <cell r="M23">
            <v>141291</v>
          </cell>
          <cell r="N23">
            <v>174940</v>
          </cell>
          <cell r="O23">
            <v>164289</v>
          </cell>
          <cell r="P23">
            <v>171330</v>
          </cell>
          <cell r="T23">
            <v>20</v>
          </cell>
          <cell r="U23" t="str">
            <v xml:space="preserve">Industrial </v>
          </cell>
          <cell r="W23">
            <v>1976827</v>
          </cell>
          <cell r="X23">
            <v>181661</v>
          </cell>
          <cell r="Y23">
            <v>160953</v>
          </cell>
          <cell r="Z23">
            <v>177912</v>
          </cell>
          <cell r="AA23">
            <v>159520</v>
          </cell>
          <cell r="AB23">
            <v>149818</v>
          </cell>
          <cell r="AC23">
            <v>158443</v>
          </cell>
          <cell r="AD23">
            <v>140944</v>
          </cell>
          <cell r="AE23">
            <v>159653</v>
          </cell>
          <cell r="AF23">
            <v>146007</v>
          </cell>
          <cell r="AG23">
            <v>173557</v>
          </cell>
          <cell r="AH23">
            <v>184239</v>
          </cell>
          <cell r="AI23">
            <v>184120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3461400</v>
          </cell>
          <cell r="E25">
            <v>427592</v>
          </cell>
          <cell r="F25">
            <v>427865</v>
          </cell>
          <cell r="G25">
            <v>407126</v>
          </cell>
          <cell r="H25">
            <v>288284</v>
          </cell>
          <cell r="I25">
            <v>202951</v>
          </cell>
          <cell r="J25">
            <v>188564</v>
          </cell>
          <cell r="K25">
            <v>201899</v>
          </cell>
          <cell r="L25">
            <v>200495</v>
          </cell>
          <cell r="M25">
            <v>201198</v>
          </cell>
          <cell r="N25">
            <v>244162</v>
          </cell>
          <cell r="O25">
            <v>291706</v>
          </cell>
          <cell r="P25">
            <v>379558</v>
          </cell>
          <cell r="T25">
            <v>22</v>
          </cell>
          <cell r="U25" t="str">
            <v>Total Deliveries</v>
          </cell>
          <cell r="W25">
            <v>3473900</v>
          </cell>
          <cell r="X25">
            <v>489118</v>
          </cell>
          <cell r="Y25">
            <v>382827</v>
          </cell>
          <cell r="Z25">
            <v>381157</v>
          </cell>
          <cell r="AA25">
            <v>321400</v>
          </cell>
          <cell r="AB25">
            <v>223658</v>
          </cell>
          <cell r="AC25">
            <v>202322</v>
          </cell>
          <cell r="AD25">
            <v>181421</v>
          </cell>
          <cell r="AE25">
            <v>201939</v>
          </cell>
          <cell r="AF25">
            <v>186560</v>
          </cell>
          <cell r="AG25">
            <v>229381</v>
          </cell>
          <cell r="AH25">
            <v>298450</v>
          </cell>
          <cell r="AI25">
            <v>375667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13387</v>
          </cell>
          <cell r="F28">
            <v>13399</v>
          </cell>
          <cell r="G28">
            <v>13468</v>
          </cell>
          <cell r="H28">
            <v>13431</v>
          </cell>
          <cell r="I28">
            <v>13216</v>
          </cell>
          <cell r="J28">
            <v>12780</v>
          </cell>
          <cell r="K28">
            <v>12621</v>
          </cell>
          <cell r="L28">
            <v>12618</v>
          </cell>
          <cell r="M28">
            <v>12607</v>
          </cell>
          <cell r="N28">
            <v>12708</v>
          </cell>
          <cell r="O28">
            <v>13047</v>
          </cell>
          <cell r="P28">
            <v>13459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463074.9528174763</v>
          </cell>
          <cell r="F29">
            <v>402490.27130639326</v>
          </cell>
          <cell r="G29">
            <v>390365.40412889782</v>
          </cell>
          <cell r="H29">
            <v>300498.10204675613</v>
          </cell>
          <cell r="I29">
            <v>222515.83773154736</v>
          </cell>
          <cell r="J29">
            <v>209377.60421929118</v>
          </cell>
          <cell r="K29">
            <v>176152.66692063847</v>
          </cell>
          <cell r="L29">
            <v>199235.82040601864</v>
          </cell>
          <cell r="M29">
            <v>180920.61260020602</v>
          </cell>
          <cell r="N29">
            <v>231776.42988349972</v>
          </cell>
          <cell r="O29">
            <v>295465.32806109311</v>
          </cell>
          <cell r="P29">
            <v>338395.53950218949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479282.57616608794</v>
          </cell>
          <cell r="F30">
            <v>416577.43080211699</v>
          </cell>
          <cell r="G30">
            <v>404028.19327340921</v>
          </cell>
          <cell r="H30">
            <v>311015.53561839258</v>
          </cell>
          <cell r="I30">
            <v>230303.8920521515</v>
          </cell>
          <cell r="J30">
            <v>216705.82036696636</v>
          </cell>
          <cell r="K30">
            <v>182318.0102628608</v>
          </cell>
          <cell r="L30">
            <v>206209.07412022928</v>
          </cell>
          <cell r="M30">
            <v>187252.83404121321</v>
          </cell>
          <cell r="N30">
            <v>239888.6049294222</v>
          </cell>
          <cell r="O30">
            <v>305806.61454323132</v>
          </cell>
          <cell r="P30">
            <v>350239.38338476612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11334</v>
          </cell>
          <cell r="F34">
            <v>11358</v>
          </cell>
          <cell r="G34">
            <v>11356</v>
          </cell>
          <cell r="H34">
            <v>11347</v>
          </cell>
          <cell r="I34">
            <v>11298</v>
          </cell>
          <cell r="J34">
            <v>11234</v>
          </cell>
          <cell r="K34">
            <v>11188</v>
          </cell>
          <cell r="L34">
            <v>11146</v>
          </cell>
          <cell r="M34">
            <v>11117</v>
          </cell>
          <cell r="N34">
            <v>11096</v>
          </cell>
          <cell r="O34">
            <v>11095</v>
          </cell>
          <cell r="P34">
            <v>11119</v>
          </cell>
          <cell r="T34">
            <v>31</v>
          </cell>
          <cell r="U34" t="str">
            <v>Residential</v>
          </cell>
          <cell r="X34">
            <v>11277</v>
          </cell>
          <cell r="Y34">
            <v>11305</v>
          </cell>
          <cell r="Z34">
            <v>11303</v>
          </cell>
          <cell r="AA34">
            <v>11285</v>
          </cell>
          <cell r="AB34">
            <v>11241</v>
          </cell>
          <cell r="AC34">
            <v>11176</v>
          </cell>
          <cell r="AD34">
            <v>11122</v>
          </cell>
          <cell r="AE34">
            <v>11079</v>
          </cell>
          <cell r="AF34">
            <v>11044</v>
          </cell>
          <cell r="AG34">
            <v>11017</v>
          </cell>
          <cell r="AH34">
            <v>11015</v>
          </cell>
          <cell r="AI34">
            <v>11032</v>
          </cell>
        </row>
        <row r="35">
          <cell r="A35">
            <v>32</v>
          </cell>
          <cell r="B35" t="str">
            <v>Commercial</v>
          </cell>
          <cell r="E35">
            <v>1911</v>
          </cell>
          <cell r="F35">
            <v>1915</v>
          </cell>
          <cell r="G35">
            <v>1917</v>
          </cell>
          <cell r="H35">
            <v>1914</v>
          </cell>
          <cell r="I35">
            <v>1909</v>
          </cell>
          <cell r="J35">
            <v>1905</v>
          </cell>
          <cell r="K35">
            <v>1901</v>
          </cell>
          <cell r="L35">
            <v>1898</v>
          </cell>
          <cell r="M35">
            <v>1895</v>
          </cell>
          <cell r="N35">
            <v>1894</v>
          </cell>
          <cell r="O35">
            <v>1894</v>
          </cell>
          <cell r="P35">
            <v>1897</v>
          </cell>
          <cell r="T35">
            <v>32</v>
          </cell>
          <cell r="U35" t="str">
            <v>Commercial</v>
          </cell>
          <cell r="X35">
            <v>1888</v>
          </cell>
          <cell r="Y35">
            <v>1894</v>
          </cell>
          <cell r="Z35">
            <v>1898</v>
          </cell>
          <cell r="AA35">
            <v>1899</v>
          </cell>
          <cell r="AB35">
            <v>1895</v>
          </cell>
          <cell r="AC35">
            <v>1888</v>
          </cell>
          <cell r="AD35">
            <v>1880</v>
          </cell>
          <cell r="AE35">
            <v>1877</v>
          </cell>
          <cell r="AF35">
            <v>1873</v>
          </cell>
          <cell r="AG35">
            <v>1871</v>
          </cell>
          <cell r="AH35">
            <v>1872</v>
          </cell>
          <cell r="AI35">
            <v>1874</v>
          </cell>
        </row>
        <row r="36">
          <cell r="A36">
            <v>33</v>
          </cell>
          <cell r="B36" t="str">
            <v xml:space="preserve">Industrial </v>
          </cell>
          <cell r="E36">
            <v>45</v>
          </cell>
          <cell r="F36">
            <v>46</v>
          </cell>
          <cell r="G36">
            <v>46</v>
          </cell>
          <cell r="H36">
            <v>46</v>
          </cell>
          <cell r="I36">
            <v>46</v>
          </cell>
          <cell r="J36">
            <v>46</v>
          </cell>
          <cell r="K36">
            <v>46</v>
          </cell>
          <cell r="L36">
            <v>46</v>
          </cell>
          <cell r="M36">
            <v>46</v>
          </cell>
          <cell r="N36">
            <v>46</v>
          </cell>
          <cell r="O36">
            <v>46</v>
          </cell>
          <cell r="P36">
            <v>46</v>
          </cell>
          <cell r="T36">
            <v>33</v>
          </cell>
          <cell r="U36" t="str">
            <v xml:space="preserve">Industrial </v>
          </cell>
          <cell r="X36">
            <v>44</v>
          </cell>
          <cell r="Y36">
            <v>44</v>
          </cell>
          <cell r="Z36">
            <v>44</v>
          </cell>
          <cell r="AA36">
            <v>44</v>
          </cell>
          <cell r="AB36">
            <v>44</v>
          </cell>
          <cell r="AC36">
            <v>44</v>
          </cell>
          <cell r="AD36">
            <v>45</v>
          </cell>
          <cell r="AE36">
            <v>45</v>
          </cell>
          <cell r="AF36">
            <v>44</v>
          </cell>
          <cell r="AG36">
            <v>44</v>
          </cell>
          <cell r="AH36">
            <v>44</v>
          </cell>
          <cell r="AI36">
            <v>44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13290</v>
          </cell>
          <cell r="F38">
            <v>13319</v>
          </cell>
          <cell r="G38">
            <v>13319</v>
          </cell>
          <cell r="H38">
            <v>13307</v>
          </cell>
          <cell r="I38">
            <v>13253</v>
          </cell>
          <cell r="J38">
            <v>13185</v>
          </cell>
          <cell r="K38">
            <v>13135</v>
          </cell>
          <cell r="L38">
            <v>13090</v>
          </cell>
          <cell r="M38">
            <v>13058</v>
          </cell>
          <cell r="N38">
            <v>13036</v>
          </cell>
          <cell r="O38">
            <v>13035</v>
          </cell>
          <cell r="P38">
            <v>13062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13209</v>
          </cell>
          <cell r="Y38">
            <v>13243</v>
          </cell>
          <cell r="Z38">
            <v>13245</v>
          </cell>
          <cell r="AA38">
            <v>13228</v>
          </cell>
          <cell r="AB38">
            <v>13180</v>
          </cell>
          <cell r="AC38">
            <v>13108</v>
          </cell>
          <cell r="AD38">
            <v>13047</v>
          </cell>
          <cell r="AE38">
            <v>13001</v>
          </cell>
          <cell r="AF38">
            <v>12961</v>
          </cell>
          <cell r="AG38">
            <v>12932</v>
          </cell>
          <cell r="AH38">
            <v>12931</v>
          </cell>
          <cell r="AI38">
            <v>12950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93133</v>
          </cell>
          <cell r="F41">
            <v>202505</v>
          </cell>
          <cell r="G41">
            <v>297258</v>
          </cell>
          <cell r="H41">
            <v>347466</v>
          </cell>
          <cell r="I41">
            <v>362936</v>
          </cell>
          <cell r="J41">
            <v>372626</v>
          </cell>
          <cell r="K41">
            <v>380641</v>
          </cell>
          <cell r="L41">
            <v>388171</v>
          </cell>
          <cell r="M41">
            <v>396580</v>
          </cell>
          <cell r="N41">
            <v>406738</v>
          </cell>
          <cell r="O41">
            <v>443249</v>
          </cell>
          <cell r="P41">
            <v>517026</v>
          </cell>
          <cell r="T41">
            <v>38</v>
          </cell>
          <cell r="U41" t="str">
            <v>Residential</v>
          </cell>
          <cell r="X41">
            <v>132506</v>
          </cell>
          <cell r="Y41">
            <v>229254</v>
          </cell>
          <cell r="Z41">
            <v>310266</v>
          </cell>
          <cell r="AA41">
            <v>380293</v>
          </cell>
          <cell r="AB41">
            <v>405997</v>
          </cell>
          <cell r="AC41">
            <v>415611</v>
          </cell>
          <cell r="AD41">
            <v>424217</v>
          </cell>
          <cell r="AE41">
            <v>432162</v>
          </cell>
          <cell r="AF41">
            <v>440132</v>
          </cell>
          <cell r="AG41">
            <v>451183</v>
          </cell>
          <cell r="AH41">
            <v>487500</v>
          </cell>
          <cell r="AI41">
            <v>562939</v>
          </cell>
        </row>
        <row r="42">
          <cell r="A42">
            <v>39</v>
          </cell>
          <cell r="B42" t="str">
            <v>Commercial</v>
          </cell>
          <cell r="E42">
            <v>150035</v>
          </cell>
          <cell r="F42">
            <v>298155</v>
          </cell>
          <cell r="G42">
            <v>432401</v>
          </cell>
          <cell r="H42">
            <v>518316</v>
          </cell>
          <cell r="I42">
            <v>580339</v>
          </cell>
          <cell r="J42">
            <v>627485</v>
          </cell>
          <cell r="K42">
            <v>674995</v>
          </cell>
          <cell r="L42">
            <v>717288</v>
          </cell>
          <cell r="M42">
            <v>766579</v>
          </cell>
          <cell r="N42">
            <v>822991</v>
          </cell>
          <cell r="O42">
            <v>909124</v>
          </cell>
          <cell r="P42">
            <v>1036585</v>
          </cell>
          <cell r="T42">
            <v>39</v>
          </cell>
          <cell r="U42" t="str">
            <v>Commercial</v>
          </cell>
          <cell r="X42">
            <v>160378</v>
          </cell>
          <cell r="Y42">
            <v>275758</v>
          </cell>
          <cell r="Z42">
            <v>388940</v>
          </cell>
          <cell r="AA42">
            <v>474175</v>
          </cell>
          <cell r="AB42">
            <v>519286</v>
          </cell>
          <cell r="AC42">
            <v>551627</v>
          </cell>
          <cell r="AD42">
            <v>581747</v>
          </cell>
          <cell r="AE42">
            <v>614396</v>
          </cell>
          <cell r="AF42">
            <v>645249</v>
          </cell>
          <cell r="AG42">
            <v>687862</v>
          </cell>
          <cell r="AH42">
            <v>761208</v>
          </cell>
          <cell r="AI42">
            <v>869437</v>
          </cell>
        </row>
        <row r="43">
          <cell r="A43">
            <v>40</v>
          </cell>
          <cell r="B43" t="str">
            <v xml:space="preserve">Industrial </v>
          </cell>
          <cell r="E43">
            <v>166151</v>
          </cell>
          <cell r="F43">
            <v>318882</v>
          </cell>
          <cell r="G43">
            <v>480476</v>
          </cell>
          <cell r="H43">
            <v>621402</v>
          </cell>
          <cell r="I43">
            <v>739217</v>
          </cell>
          <cell r="J43">
            <v>863880</v>
          </cell>
          <cell r="K43">
            <v>1002532</v>
          </cell>
          <cell r="L43">
            <v>1144546</v>
          </cell>
          <cell r="M43">
            <v>1280632</v>
          </cell>
          <cell r="N43">
            <v>1448870</v>
          </cell>
          <cell r="O43">
            <v>1607004</v>
          </cell>
          <cell r="P43">
            <v>1772583</v>
          </cell>
          <cell r="T43">
            <v>40</v>
          </cell>
          <cell r="U43" t="str">
            <v xml:space="preserve">Industrial </v>
          </cell>
          <cell r="X43">
            <v>173051</v>
          </cell>
          <cell r="Y43">
            <v>326935</v>
          </cell>
          <cell r="Z43">
            <v>496924</v>
          </cell>
          <cell r="AA43">
            <v>649922</v>
          </cell>
          <cell r="AB43">
            <v>793602</v>
          </cell>
          <cell r="AC43">
            <v>945099</v>
          </cell>
          <cell r="AD43">
            <v>1079946</v>
          </cell>
          <cell r="AE43">
            <v>1233208</v>
          </cell>
          <cell r="AF43">
            <v>1372987</v>
          </cell>
          <cell r="AG43">
            <v>1539830</v>
          </cell>
          <cell r="AH43">
            <v>1716732</v>
          </cell>
          <cell r="AI43">
            <v>1893278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409319</v>
          </cell>
          <cell r="F45">
            <v>819542</v>
          </cell>
          <cell r="G45">
            <v>1210135</v>
          </cell>
          <cell r="H45">
            <v>1487184</v>
          </cell>
          <cell r="I45">
            <v>1682492</v>
          </cell>
          <cell r="J45">
            <v>1863991</v>
          </cell>
          <cell r="K45">
            <v>2058168</v>
          </cell>
          <cell r="L45">
            <v>2250005</v>
          </cell>
          <cell r="M45">
            <v>2443791</v>
          </cell>
          <cell r="N45">
            <v>2678599</v>
          </cell>
          <cell r="O45">
            <v>2959377</v>
          </cell>
          <cell r="P45">
            <v>3326194</v>
          </cell>
          <cell r="T45">
            <v>42</v>
          </cell>
          <cell r="U45" t="str">
            <v>Total Volume</v>
          </cell>
          <cell r="X45">
            <v>465935</v>
          </cell>
          <cell r="Y45">
            <v>831947</v>
          </cell>
          <cell r="Z45">
            <v>1196130</v>
          </cell>
          <cell r="AA45">
            <v>1504390</v>
          </cell>
          <cell r="AB45">
            <v>1718885</v>
          </cell>
          <cell r="AC45">
            <v>1912337</v>
          </cell>
          <cell r="AD45">
            <v>2085910</v>
          </cell>
          <cell r="AE45">
            <v>2279766</v>
          </cell>
          <cell r="AF45">
            <v>2458368</v>
          </cell>
          <cell r="AG45">
            <v>2678875</v>
          </cell>
          <cell r="AH45">
            <v>2965440</v>
          </cell>
          <cell r="AI45">
            <v>3325654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- 2018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97291</v>
          </cell>
          <cell r="F48">
            <v>211367</v>
          </cell>
          <cell r="G48">
            <v>310131</v>
          </cell>
          <cell r="H48">
            <v>362375</v>
          </cell>
          <cell r="I48">
            <v>378450</v>
          </cell>
          <cell r="J48">
            <v>388517</v>
          </cell>
          <cell r="K48">
            <v>396851</v>
          </cell>
          <cell r="L48">
            <v>404721</v>
          </cell>
          <cell r="M48">
            <v>413452</v>
          </cell>
          <cell r="N48">
            <v>424015</v>
          </cell>
          <cell r="O48">
            <v>461947</v>
          </cell>
          <cell r="P48">
            <v>538287</v>
          </cell>
          <cell r="T48">
            <v>45</v>
          </cell>
          <cell r="U48" t="str">
            <v>Residential</v>
          </cell>
          <cell r="X48">
            <v>139099</v>
          </cell>
          <cell r="Y48">
            <v>240292</v>
          </cell>
          <cell r="Z48">
            <v>325080</v>
          </cell>
          <cell r="AA48">
            <v>398092</v>
          </cell>
          <cell r="AB48">
            <v>424894</v>
          </cell>
          <cell r="AC48">
            <v>434949</v>
          </cell>
          <cell r="AD48">
            <v>443944</v>
          </cell>
          <cell r="AE48">
            <v>452220</v>
          </cell>
          <cell r="AF48">
            <v>460545</v>
          </cell>
          <cell r="AG48">
            <v>472041</v>
          </cell>
          <cell r="AH48">
            <v>509864</v>
          </cell>
          <cell r="AI48">
            <v>588539</v>
          </cell>
        </row>
        <row r="49">
          <cell r="A49">
            <v>46</v>
          </cell>
          <cell r="B49" t="str">
            <v>Commercial</v>
          </cell>
          <cell r="E49">
            <v>156733</v>
          </cell>
          <cell r="F49">
            <v>311223</v>
          </cell>
          <cell r="G49">
            <v>451151</v>
          </cell>
          <cell r="H49">
            <v>540550</v>
          </cell>
          <cell r="I49">
            <v>605000</v>
          </cell>
          <cell r="J49">
            <v>653981</v>
          </cell>
          <cell r="K49">
            <v>703380</v>
          </cell>
          <cell r="L49">
            <v>747582</v>
          </cell>
          <cell r="M49">
            <v>798758</v>
          </cell>
          <cell r="N49">
            <v>857417</v>
          </cell>
          <cell r="O49">
            <v>946902</v>
          </cell>
          <cell r="P49">
            <v>1078790</v>
          </cell>
          <cell r="T49">
            <v>46</v>
          </cell>
          <cell r="U49" t="str">
            <v>Commercial</v>
          </cell>
          <cell r="X49">
            <v>168358</v>
          </cell>
          <cell r="Y49">
            <v>289039</v>
          </cell>
          <cell r="Z49">
            <v>407496</v>
          </cell>
          <cell r="AA49">
            <v>496364</v>
          </cell>
          <cell r="AB49">
            <v>543402</v>
          </cell>
          <cell r="AC49">
            <v>577226</v>
          </cell>
          <cell r="AD49">
            <v>608708</v>
          </cell>
          <cell r="AE49">
            <v>642718</v>
          </cell>
          <cell r="AF49">
            <v>674946</v>
          </cell>
          <cell r="AG49">
            <v>719274</v>
          </cell>
          <cell r="AH49">
            <v>795662</v>
          </cell>
          <cell r="AI49">
            <v>908534</v>
          </cell>
        </row>
        <row r="50">
          <cell r="A50">
            <v>47</v>
          </cell>
          <cell r="B50" t="str">
            <v xml:space="preserve">Industrial </v>
          </cell>
          <cell r="E50">
            <v>173568</v>
          </cell>
          <cell r="F50">
            <v>332867</v>
          </cell>
          <cell r="G50">
            <v>501301</v>
          </cell>
          <cell r="H50">
            <v>647942</v>
          </cell>
          <cell r="I50">
            <v>770368</v>
          </cell>
          <cell r="J50">
            <v>899884</v>
          </cell>
          <cell r="K50">
            <v>1044050</v>
          </cell>
          <cell r="L50">
            <v>1192473</v>
          </cell>
          <cell r="M50">
            <v>1333764</v>
          </cell>
          <cell r="N50">
            <v>1508704</v>
          </cell>
          <cell r="O50">
            <v>1672993</v>
          </cell>
          <cell r="P50">
            <v>1844323</v>
          </cell>
          <cell r="T50">
            <v>47</v>
          </cell>
          <cell r="U50" t="str">
            <v xml:space="preserve">Industrial </v>
          </cell>
          <cell r="X50">
            <v>181661</v>
          </cell>
          <cell r="Y50">
            <v>342614</v>
          </cell>
          <cell r="Z50">
            <v>520526</v>
          </cell>
          <cell r="AA50">
            <v>680046</v>
          </cell>
          <cell r="AB50">
            <v>829864</v>
          </cell>
          <cell r="AC50">
            <v>988307</v>
          </cell>
          <cell r="AD50">
            <v>1129251</v>
          </cell>
          <cell r="AE50">
            <v>1288904</v>
          </cell>
          <cell r="AF50">
            <v>1434911</v>
          </cell>
          <cell r="AG50">
            <v>1608468</v>
          </cell>
          <cell r="AH50">
            <v>1792707</v>
          </cell>
          <cell r="AI50">
            <v>1976827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427592</v>
          </cell>
          <cell r="F52">
            <v>855457</v>
          </cell>
          <cell r="G52">
            <v>1262583</v>
          </cell>
          <cell r="H52">
            <v>1550867</v>
          </cell>
          <cell r="I52">
            <v>1753818</v>
          </cell>
          <cell r="J52">
            <v>1942382</v>
          </cell>
          <cell r="K52">
            <v>2144281</v>
          </cell>
          <cell r="L52">
            <v>2344776</v>
          </cell>
          <cell r="M52">
            <v>2545974</v>
          </cell>
          <cell r="N52">
            <v>2790136</v>
          </cell>
          <cell r="O52">
            <v>3081842</v>
          </cell>
          <cell r="P52">
            <v>3461400</v>
          </cell>
          <cell r="T52">
            <v>49</v>
          </cell>
          <cell r="U52" t="str">
            <v>Total Volume</v>
          </cell>
          <cell r="W52">
            <v>0</v>
          </cell>
          <cell r="X52">
            <v>489118</v>
          </cell>
          <cell r="Y52">
            <v>871945</v>
          </cell>
          <cell r="Z52">
            <v>1253102</v>
          </cell>
          <cell r="AA52">
            <v>1574502</v>
          </cell>
          <cell r="AB52">
            <v>1798160</v>
          </cell>
          <cell r="AC52">
            <v>2000482</v>
          </cell>
          <cell r="AD52">
            <v>2181903</v>
          </cell>
          <cell r="AE52">
            <v>2383842</v>
          </cell>
          <cell r="AF52">
            <v>2570402</v>
          </cell>
          <cell r="AG52">
            <v>2799783</v>
          </cell>
          <cell r="AH52">
            <v>3098233</v>
          </cell>
          <cell r="AI52">
            <v>3473900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13387</v>
          </cell>
          <cell r="F55">
            <v>13393</v>
          </cell>
          <cell r="G55">
            <v>13418</v>
          </cell>
          <cell r="H55">
            <v>13421</v>
          </cell>
          <cell r="I55">
            <v>13380</v>
          </cell>
          <cell r="J55">
            <v>13280</v>
          </cell>
          <cell r="K55">
            <v>13186</v>
          </cell>
          <cell r="L55">
            <v>13115</v>
          </cell>
          <cell r="M55">
            <v>13059</v>
          </cell>
          <cell r="N55">
            <v>13024</v>
          </cell>
          <cell r="O55">
            <v>13026</v>
          </cell>
          <cell r="P55">
            <v>13062</v>
          </cell>
        </row>
        <row r="56">
          <cell r="A56">
            <v>53</v>
          </cell>
          <cell r="B56" t="str">
            <v>Cumulative Budget YTD Volume (Mcfs)</v>
          </cell>
          <cell r="E56">
            <v>463074.9528174763</v>
          </cell>
          <cell r="F56">
            <v>865565.22412386956</v>
          </cell>
          <cell r="G56">
            <v>1255930.6282527675</v>
          </cell>
          <cell r="H56">
            <v>1556428.7302995236</v>
          </cell>
          <cell r="I56">
            <v>1778944.568031071</v>
          </cell>
          <cell r="J56">
            <v>1988322.1722503621</v>
          </cell>
          <cell r="K56">
            <v>2164474.8391710008</v>
          </cell>
          <cell r="L56">
            <v>2363710.6595770195</v>
          </cell>
          <cell r="M56">
            <v>2544631.2721772254</v>
          </cell>
          <cell r="N56">
            <v>2776407.7020607251</v>
          </cell>
          <cell r="O56">
            <v>3071873.0301218182</v>
          </cell>
          <cell r="P56">
            <v>3410268.5696240077</v>
          </cell>
        </row>
        <row r="57">
          <cell r="A57">
            <v>54</v>
          </cell>
          <cell r="B57" t="str">
            <v>Cumulative YTD Budget Volume (Dts) * 1.035</v>
          </cell>
          <cell r="E57">
            <v>479282.57616608794</v>
          </cell>
          <cell r="F57">
            <v>895860.00696820486</v>
          </cell>
          <cell r="G57">
            <v>1299888.2002416141</v>
          </cell>
          <cell r="H57">
            <v>1610903.7358600067</v>
          </cell>
          <cell r="I57">
            <v>1841207.6279121581</v>
          </cell>
          <cell r="J57">
            <v>2057913.4482791245</v>
          </cell>
          <cell r="K57">
            <v>2240231.4585419851</v>
          </cell>
          <cell r="L57">
            <v>2446440.5326622142</v>
          </cell>
          <cell r="M57">
            <v>2633693.3667034274</v>
          </cell>
          <cell r="N57">
            <v>2873581.9716328494</v>
          </cell>
          <cell r="O57">
            <v>3179388.5861760806</v>
          </cell>
          <cell r="P57">
            <v>3529627.9695608467</v>
          </cell>
        </row>
      </sheetData>
      <sheetData sheetId="13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9671</v>
          </cell>
          <cell r="E5">
            <v>9687</v>
          </cell>
          <cell r="F5">
            <v>9704</v>
          </cell>
          <cell r="G5">
            <v>9701</v>
          </cell>
          <cell r="H5">
            <v>9668</v>
          </cell>
          <cell r="I5">
            <v>9632</v>
          </cell>
          <cell r="J5">
            <v>9626</v>
          </cell>
          <cell r="K5">
            <v>9649</v>
          </cell>
          <cell r="L5">
            <v>9638</v>
          </cell>
          <cell r="M5">
            <v>9639</v>
          </cell>
          <cell r="N5">
            <v>9656</v>
          </cell>
          <cell r="O5">
            <v>9699</v>
          </cell>
          <cell r="P5">
            <v>9754</v>
          </cell>
          <cell r="T5">
            <v>2</v>
          </cell>
          <cell r="U5" t="str">
            <v>Residential</v>
          </cell>
          <cell r="V5">
            <v>9615</v>
          </cell>
          <cell r="W5">
            <v>115377</v>
          </cell>
          <cell r="X5">
            <v>9631</v>
          </cell>
          <cell r="Y5">
            <v>9654</v>
          </cell>
          <cell r="Z5">
            <v>9656</v>
          </cell>
          <cell r="AA5">
            <v>9612</v>
          </cell>
          <cell r="AB5">
            <v>9588</v>
          </cell>
          <cell r="AC5">
            <v>9590</v>
          </cell>
          <cell r="AD5">
            <v>9587</v>
          </cell>
          <cell r="AE5">
            <v>9590</v>
          </cell>
          <cell r="AF5">
            <v>9590</v>
          </cell>
          <cell r="AG5">
            <v>9588</v>
          </cell>
          <cell r="AH5">
            <v>9619</v>
          </cell>
          <cell r="AI5">
            <v>9672</v>
          </cell>
        </row>
        <row r="6">
          <cell r="A6">
            <v>3</v>
          </cell>
          <cell r="B6" t="str">
            <v>Commercial</v>
          </cell>
          <cell r="D6">
            <v>1091</v>
          </cell>
          <cell r="E6">
            <v>1073</v>
          </cell>
          <cell r="F6">
            <v>1062</v>
          </cell>
          <cell r="G6">
            <v>1060</v>
          </cell>
          <cell r="H6">
            <v>1069</v>
          </cell>
          <cell r="I6">
            <v>1090</v>
          </cell>
          <cell r="J6">
            <v>1105</v>
          </cell>
          <cell r="K6">
            <v>1110</v>
          </cell>
          <cell r="L6">
            <v>1114</v>
          </cell>
          <cell r="M6">
            <v>1112</v>
          </cell>
          <cell r="N6">
            <v>1109</v>
          </cell>
          <cell r="O6">
            <v>1096</v>
          </cell>
          <cell r="P6">
            <v>1090</v>
          </cell>
          <cell r="T6">
            <v>3</v>
          </cell>
          <cell r="U6" t="str">
            <v>Commercial</v>
          </cell>
          <cell r="V6">
            <v>1075</v>
          </cell>
          <cell r="W6">
            <v>12897</v>
          </cell>
          <cell r="X6">
            <v>1041</v>
          </cell>
          <cell r="Y6">
            <v>1039</v>
          </cell>
          <cell r="Z6">
            <v>1040</v>
          </cell>
          <cell r="AA6">
            <v>1055</v>
          </cell>
          <cell r="AB6">
            <v>1084</v>
          </cell>
          <cell r="AC6">
            <v>1104</v>
          </cell>
          <cell r="AD6">
            <v>1094</v>
          </cell>
          <cell r="AE6">
            <v>1098</v>
          </cell>
          <cell r="AF6">
            <v>1098</v>
          </cell>
          <cell r="AG6">
            <v>1091</v>
          </cell>
          <cell r="AH6">
            <v>1075</v>
          </cell>
          <cell r="AI6">
            <v>1078</v>
          </cell>
        </row>
        <row r="7">
          <cell r="A7">
            <v>4</v>
          </cell>
          <cell r="B7" t="str">
            <v xml:space="preserve">Industrial </v>
          </cell>
          <cell r="D7">
            <v>28</v>
          </cell>
          <cell r="E7">
            <v>24</v>
          </cell>
          <cell r="F7">
            <v>28</v>
          </cell>
          <cell r="G7">
            <v>29</v>
          </cell>
          <cell r="H7">
            <v>29</v>
          </cell>
          <cell r="I7">
            <v>28</v>
          </cell>
          <cell r="J7">
            <v>28</v>
          </cell>
          <cell r="K7">
            <v>28</v>
          </cell>
          <cell r="L7">
            <v>29</v>
          </cell>
          <cell r="M7">
            <v>29</v>
          </cell>
          <cell r="N7">
            <v>28</v>
          </cell>
          <cell r="O7">
            <v>29</v>
          </cell>
          <cell r="P7">
            <v>29</v>
          </cell>
          <cell r="T7">
            <v>4</v>
          </cell>
          <cell r="U7" t="str">
            <v xml:space="preserve">Industrial </v>
          </cell>
          <cell r="V7">
            <v>22</v>
          </cell>
          <cell r="W7">
            <v>265</v>
          </cell>
          <cell r="X7">
            <v>21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  <cell r="AC7">
            <v>20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24</v>
          </cell>
          <cell r="AI7">
            <v>24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10790</v>
          </cell>
          <cell r="E9">
            <v>10784</v>
          </cell>
          <cell r="F9">
            <v>10794</v>
          </cell>
          <cell r="G9">
            <v>10790</v>
          </cell>
          <cell r="H9">
            <v>10766</v>
          </cell>
          <cell r="I9">
            <v>10750</v>
          </cell>
          <cell r="J9">
            <v>10759</v>
          </cell>
          <cell r="K9">
            <v>10787</v>
          </cell>
          <cell r="L9">
            <v>10781</v>
          </cell>
          <cell r="M9">
            <v>10780</v>
          </cell>
          <cell r="N9">
            <v>10793</v>
          </cell>
          <cell r="O9">
            <v>10824</v>
          </cell>
          <cell r="P9">
            <v>10873</v>
          </cell>
          <cell r="T9">
            <v>6</v>
          </cell>
          <cell r="U9" t="str">
            <v>Total customers</v>
          </cell>
          <cell r="V9">
            <v>10712</v>
          </cell>
          <cell r="W9">
            <v>128539</v>
          </cell>
          <cell r="X9">
            <v>10693</v>
          </cell>
          <cell r="Y9">
            <v>10713</v>
          </cell>
          <cell r="Z9">
            <v>10716</v>
          </cell>
          <cell r="AA9">
            <v>10687</v>
          </cell>
          <cell r="AB9">
            <v>10692</v>
          </cell>
          <cell r="AC9">
            <v>10714</v>
          </cell>
          <cell r="AD9">
            <v>10705</v>
          </cell>
          <cell r="AE9">
            <v>10712</v>
          </cell>
          <cell r="AF9">
            <v>10712</v>
          </cell>
          <cell r="AG9">
            <v>10703</v>
          </cell>
          <cell r="AH9">
            <v>10718</v>
          </cell>
          <cell r="AI9">
            <v>10774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253149</v>
          </cell>
          <cell r="E12">
            <v>43114</v>
          </cell>
          <cell r="F12">
            <v>52744</v>
          </cell>
          <cell r="G12">
            <v>40689</v>
          </cell>
          <cell r="H12">
            <v>24438</v>
          </cell>
          <cell r="I12">
            <v>8416</v>
          </cell>
          <cell r="J12">
            <v>6551</v>
          </cell>
          <cell r="K12">
            <v>6128</v>
          </cell>
          <cell r="L12">
            <v>5680</v>
          </cell>
          <cell r="M12">
            <v>6012</v>
          </cell>
          <cell r="N12">
            <v>5866</v>
          </cell>
          <cell r="O12">
            <v>18995</v>
          </cell>
          <cell r="P12">
            <v>34516</v>
          </cell>
          <cell r="T12">
            <v>9</v>
          </cell>
          <cell r="U12" t="str">
            <v>Residential</v>
          </cell>
          <cell r="W12">
            <v>276425</v>
          </cell>
          <cell r="X12">
            <v>68205</v>
          </cell>
          <cell r="Y12">
            <v>46120</v>
          </cell>
          <cell r="Z12">
            <v>35438</v>
          </cell>
          <cell r="AA12">
            <v>32493</v>
          </cell>
          <cell r="AB12">
            <v>12288</v>
          </cell>
          <cell r="AC12">
            <v>6304</v>
          </cell>
          <cell r="AD12">
            <v>6225</v>
          </cell>
          <cell r="AE12">
            <v>5522</v>
          </cell>
          <cell r="AF12">
            <v>5523</v>
          </cell>
          <cell r="AG12">
            <v>5668</v>
          </cell>
          <cell r="AH12">
            <v>15745</v>
          </cell>
          <cell r="AI12">
            <v>36894</v>
          </cell>
        </row>
        <row r="13">
          <cell r="A13">
            <v>10</v>
          </cell>
          <cell r="B13" t="str">
            <v>Commercial</v>
          </cell>
          <cell r="D13">
            <v>281473</v>
          </cell>
          <cell r="E13">
            <v>26356</v>
          </cell>
          <cell r="F13">
            <v>30117</v>
          </cell>
          <cell r="G13">
            <v>26733</v>
          </cell>
          <cell r="H13">
            <v>22780</v>
          </cell>
          <cell r="I13">
            <v>17987</v>
          </cell>
          <cell r="J13">
            <v>21462</v>
          </cell>
          <cell r="K13">
            <v>26192</v>
          </cell>
          <cell r="L13">
            <v>26063</v>
          </cell>
          <cell r="M13">
            <v>26801</v>
          </cell>
          <cell r="N13">
            <v>18278</v>
          </cell>
          <cell r="O13">
            <v>16839</v>
          </cell>
          <cell r="P13">
            <v>21865</v>
          </cell>
          <cell r="T13">
            <v>10</v>
          </cell>
          <cell r="U13" t="str">
            <v>Commercial</v>
          </cell>
          <cell r="W13">
            <v>345958</v>
          </cell>
          <cell r="X13">
            <v>45386</v>
          </cell>
          <cell r="Y13">
            <v>35155</v>
          </cell>
          <cell r="Z13">
            <v>30999</v>
          </cell>
          <cell r="AA13">
            <v>32726</v>
          </cell>
          <cell r="AB13">
            <v>27114</v>
          </cell>
          <cell r="AC13">
            <v>26061</v>
          </cell>
          <cell r="AD13">
            <v>30933</v>
          </cell>
          <cell r="AE13">
            <v>27936</v>
          </cell>
          <cell r="AF13">
            <v>28301</v>
          </cell>
          <cell r="AG13">
            <v>19742</v>
          </cell>
          <cell r="AH13">
            <v>17832</v>
          </cell>
          <cell r="AI13">
            <v>23773</v>
          </cell>
        </row>
        <row r="14">
          <cell r="A14">
            <v>11</v>
          </cell>
          <cell r="B14" t="str">
            <v xml:space="preserve">Industrial </v>
          </cell>
          <cell r="D14">
            <v>321826</v>
          </cell>
          <cell r="E14">
            <v>27207</v>
          </cell>
          <cell r="F14">
            <v>23570</v>
          </cell>
          <cell r="G14">
            <v>26475</v>
          </cell>
          <cell r="H14">
            <v>27788</v>
          </cell>
          <cell r="I14">
            <v>24611</v>
          </cell>
          <cell r="J14">
            <v>22717</v>
          </cell>
          <cell r="K14">
            <v>24364</v>
          </cell>
          <cell r="L14">
            <v>25645</v>
          </cell>
          <cell r="M14">
            <v>25919</v>
          </cell>
          <cell r="N14">
            <v>27561</v>
          </cell>
          <cell r="O14">
            <v>31842</v>
          </cell>
          <cell r="P14">
            <v>34127</v>
          </cell>
          <cell r="T14">
            <v>11</v>
          </cell>
          <cell r="U14" t="str">
            <v xml:space="preserve">Industrial </v>
          </cell>
          <cell r="W14">
            <v>227005</v>
          </cell>
          <cell r="X14">
            <v>16346</v>
          </cell>
          <cell r="Y14">
            <v>15872</v>
          </cell>
          <cell r="Z14">
            <v>17977</v>
          </cell>
          <cell r="AA14">
            <v>19844</v>
          </cell>
          <cell r="AB14">
            <v>15191</v>
          </cell>
          <cell r="AC14">
            <v>23564</v>
          </cell>
          <cell r="AD14">
            <v>16504</v>
          </cell>
          <cell r="AE14">
            <v>17183</v>
          </cell>
          <cell r="AF14">
            <v>14762</v>
          </cell>
          <cell r="AG14">
            <v>21640</v>
          </cell>
          <cell r="AH14">
            <v>26835</v>
          </cell>
          <cell r="AI14">
            <v>21287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856448</v>
          </cell>
          <cell r="E16">
            <v>96677</v>
          </cell>
          <cell r="F16">
            <v>106431</v>
          </cell>
          <cell r="G16">
            <v>93897</v>
          </cell>
          <cell r="H16">
            <v>75006</v>
          </cell>
          <cell r="I16">
            <v>51014</v>
          </cell>
          <cell r="J16">
            <v>50730</v>
          </cell>
          <cell r="K16">
            <v>56684</v>
          </cell>
          <cell r="L16">
            <v>57388</v>
          </cell>
          <cell r="M16">
            <v>58732</v>
          </cell>
          <cell r="N16">
            <v>51705</v>
          </cell>
          <cell r="O16">
            <v>67676</v>
          </cell>
          <cell r="P16">
            <v>90508</v>
          </cell>
          <cell r="T16">
            <v>13</v>
          </cell>
          <cell r="U16" t="str">
            <v>Total Deliveries</v>
          </cell>
          <cell r="W16">
            <v>849388</v>
          </cell>
          <cell r="X16">
            <v>129937</v>
          </cell>
          <cell r="Y16">
            <v>97147</v>
          </cell>
          <cell r="Z16">
            <v>84414</v>
          </cell>
          <cell r="AA16">
            <v>85063</v>
          </cell>
          <cell r="AB16">
            <v>54593</v>
          </cell>
          <cell r="AC16">
            <v>55929</v>
          </cell>
          <cell r="AD16">
            <v>53662</v>
          </cell>
          <cell r="AE16">
            <v>50641</v>
          </cell>
          <cell r="AF16">
            <v>48586</v>
          </cell>
          <cell r="AG16">
            <v>47050</v>
          </cell>
          <cell r="AH16">
            <v>60412</v>
          </cell>
          <cell r="AI16">
            <v>81954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1.0446409999999999</v>
          </cell>
          <cell r="F18">
            <v>1.043005</v>
          </cell>
          <cell r="G18">
            <v>1.042327</v>
          </cell>
          <cell r="H18">
            <v>1.040551</v>
          </cell>
          <cell r="I18">
            <v>1.039137</v>
          </cell>
          <cell r="J18">
            <v>1.0389269999999999</v>
          </cell>
          <cell r="K18">
            <v>1.0397700000000001</v>
          </cell>
          <cell r="L18">
            <v>1.0451280000000001</v>
          </cell>
          <cell r="M18">
            <v>1.038249</v>
          </cell>
          <cell r="N18">
            <v>1.0398369999999999</v>
          </cell>
          <cell r="O18">
            <v>1.0389200000000001</v>
          </cell>
          <cell r="P18">
            <v>1.034735</v>
          </cell>
          <cell r="T18">
            <v>15</v>
          </cell>
          <cell r="X18">
            <v>1.0497559999999999</v>
          </cell>
          <cell r="Y18">
            <v>1.0459400000000001</v>
          </cell>
          <cell r="Z18">
            <v>1.0466059999999999</v>
          </cell>
          <cell r="AA18">
            <v>1.0426280000000001</v>
          </cell>
          <cell r="AB18">
            <v>1.042721</v>
          </cell>
          <cell r="AC18">
            <v>1.0458480000000001</v>
          </cell>
          <cell r="AD18">
            <v>1.045212</v>
          </cell>
          <cell r="AE18">
            <v>1.0416970000000001</v>
          </cell>
          <cell r="AF18">
            <v>1.0445580000000001</v>
          </cell>
          <cell r="AG18">
            <v>1.0402439999999999</v>
          </cell>
          <cell r="AH18">
            <v>1.0414749999999999</v>
          </cell>
          <cell r="AI18">
            <v>1.0428999999999999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263541</v>
          </cell>
          <cell r="E21">
            <v>45039</v>
          </cell>
          <cell r="F21">
            <v>55012</v>
          </cell>
          <cell r="G21">
            <v>42411</v>
          </cell>
          <cell r="H21">
            <v>25429</v>
          </cell>
          <cell r="I21">
            <v>8745</v>
          </cell>
          <cell r="J21">
            <v>6806</v>
          </cell>
          <cell r="K21">
            <v>6372</v>
          </cell>
          <cell r="L21">
            <v>5936</v>
          </cell>
          <cell r="M21">
            <v>6242</v>
          </cell>
          <cell r="N21">
            <v>6100</v>
          </cell>
          <cell r="O21">
            <v>19734</v>
          </cell>
          <cell r="P21">
            <v>35715</v>
          </cell>
          <cell r="T21">
            <v>18</v>
          </cell>
          <cell r="U21" t="str">
            <v>Residential</v>
          </cell>
          <cell r="W21">
            <v>289010</v>
          </cell>
          <cell r="X21">
            <v>71599</v>
          </cell>
          <cell r="Y21">
            <v>48239</v>
          </cell>
          <cell r="Z21">
            <v>37090</v>
          </cell>
          <cell r="AA21">
            <v>33878</v>
          </cell>
          <cell r="AB21">
            <v>12813</v>
          </cell>
          <cell r="AC21">
            <v>6593</v>
          </cell>
          <cell r="AD21">
            <v>6506</v>
          </cell>
          <cell r="AE21">
            <v>5752</v>
          </cell>
          <cell r="AF21">
            <v>5769</v>
          </cell>
          <cell r="AG21">
            <v>5896</v>
          </cell>
          <cell r="AH21">
            <v>16398</v>
          </cell>
          <cell r="AI21">
            <v>38477</v>
          </cell>
        </row>
        <row r="22">
          <cell r="A22">
            <v>19</v>
          </cell>
          <cell r="B22" t="str">
            <v>Commercial</v>
          </cell>
          <cell r="D22">
            <v>292925</v>
          </cell>
          <cell r="E22">
            <v>27533</v>
          </cell>
          <cell r="F22">
            <v>31412</v>
          </cell>
          <cell r="G22">
            <v>27865</v>
          </cell>
          <cell r="H22">
            <v>23704</v>
          </cell>
          <cell r="I22">
            <v>18691</v>
          </cell>
          <cell r="J22">
            <v>22297</v>
          </cell>
          <cell r="K22">
            <v>27234</v>
          </cell>
          <cell r="L22">
            <v>27239</v>
          </cell>
          <cell r="M22">
            <v>27826</v>
          </cell>
          <cell r="N22">
            <v>19006</v>
          </cell>
          <cell r="O22">
            <v>17494</v>
          </cell>
          <cell r="P22">
            <v>22624</v>
          </cell>
          <cell r="T22">
            <v>19</v>
          </cell>
          <cell r="U22" t="str">
            <v>Commercial</v>
          </cell>
          <cell r="W22">
            <v>361403</v>
          </cell>
          <cell r="X22">
            <v>47644</v>
          </cell>
          <cell r="Y22">
            <v>36770</v>
          </cell>
          <cell r="Z22">
            <v>32444</v>
          </cell>
          <cell r="AA22">
            <v>34121</v>
          </cell>
          <cell r="AB22">
            <v>28272</v>
          </cell>
          <cell r="AC22">
            <v>27256</v>
          </cell>
          <cell r="AD22">
            <v>32332</v>
          </cell>
          <cell r="AE22">
            <v>29101</v>
          </cell>
          <cell r="AF22">
            <v>29562</v>
          </cell>
          <cell r="AG22">
            <v>20536</v>
          </cell>
          <cell r="AH22">
            <v>18572</v>
          </cell>
          <cell r="AI22">
            <v>24793</v>
          </cell>
        </row>
        <row r="23">
          <cell r="A23">
            <v>20</v>
          </cell>
          <cell r="B23" t="str">
            <v xml:space="preserve">Industrial </v>
          </cell>
          <cell r="D23">
            <v>334789</v>
          </cell>
          <cell r="E23">
            <v>28422</v>
          </cell>
          <cell r="F23">
            <v>24584</v>
          </cell>
          <cell r="G23">
            <v>27596</v>
          </cell>
          <cell r="H23">
            <v>28915</v>
          </cell>
          <cell r="I23">
            <v>25574</v>
          </cell>
          <cell r="J23">
            <v>23601</v>
          </cell>
          <cell r="K23">
            <v>25333</v>
          </cell>
          <cell r="L23">
            <v>26802</v>
          </cell>
          <cell r="M23">
            <v>26910</v>
          </cell>
          <cell r="N23">
            <v>28659</v>
          </cell>
          <cell r="O23">
            <v>33081</v>
          </cell>
          <cell r="P23">
            <v>35312</v>
          </cell>
          <cell r="T23">
            <v>20</v>
          </cell>
          <cell r="U23" t="str">
            <v xml:space="preserve">Industrial </v>
          </cell>
          <cell r="W23">
            <v>236977</v>
          </cell>
          <cell r="X23">
            <v>17159</v>
          </cell>
          <cell r="Y23">
            <v>16601</v>
          </cell>
          <cell r="Z23">
            <v>18815</v>
          </cell>
          <cell r="AA23">
            <v>20690</v>
          </cell>
          <cell r="AB23">
            <v>15840</v>
          </cell>
          <cell r="AC23">
            <v>24644</v>
          </cell>
          <cell r="AD23">
            <v>17250</v>
          </cell>
          <cell r="AE23">
            <v>17899</v>
          </cell>
          <cell r="AF23">
            <v>15420</v>
          </cell>
          <cell r="AG23">
            <v>22511</v>
          </cell>
          <cell r="AH23">
            <v>27948</v>
          </cell>
          <cell r="AI23">
            <v>22200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891255</v>
          </cell>
          <cell r="E25">
            <v>100994</v>
          </cell>
          <cell r="F25">
            <v>111008</v>
          </cell>
          <cell r="G25">
            <v>97872</v>
          </cell>
          <cell r="H25">
            <v>78048</v>
          </cell>
          <cell r="I25">
            <v>53010</v>
          </cell>
          <cell r="J25">
            <v>52704</v>
          </cell>
          <cell r="K25">
            <v>58939</v>
          </cell>
          <cell r="L25">
            <v>59977</v>
          </cell>
          <cell r="M25">
            <v>60978</v>
          </cell>
          <cell r="N25">
            <v>53765</v>
          </cell>
          <cell r="O25">
            <v>70309</v>
          </cell>
          <cell r="P25">
            <v>93651</v>
          </cell>
          <cell r="T25">
            <v>22</v>
          </cell>
          <cell r="U25" t="str">
            <v>Total Deliveries</v>
          </cell>
          <cell r="W25">
            <v>887390</v>
          </cell>
          <cell r="X25">
            <v>136402</v>
          </cell>
          <cell r="Y25">
            <v>101610</v>
          </cell>
          <cell r="Z25">
            <v>88349</v>
          </cell>
          <cell r="AA25">
            <v>88689</v>
          </cell>
          <cell r="AB25">
            <v>56925</v>
          </cell>
          <cell r="AC25">
            <v>58493</v>
          </cell>
          <cell r="AD25">
            <v>56088</v>
          </cell>
          <cell r="AE25">
            <v>52752</v>
          </cell>
          <cell r="AF25">
            <v>50751</v>
          </cell>
          <cell r="AG25">
            <v>48943</v>
          </cell>
          <cell r="AH25">
            <v>62918</v>
          </cell>
          <cell r="AI25">
            <v>85470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10970</v>
          </cell>
          <cell r="F28">
            <v>11046</v>
          </cell>
          <cell r="G28">
            <v>11090</v>
          </cell>
          <cell r="H28">
            <v>11152</v>
          </cell>
          <cell r="I28">
            <v>11202</v>
          </cell>
          <cell r="J28">
            <v>10304</v>
          </cell>
          <cell r="K28">
            <v>10597</v>
          </cell>
          <cell r="L28">
            <v>10697</v>
          </cell>
          <cell r="M28">
            <v>10775</v>
          </cell>
          <cell r="N28">
            <v>10867</v>
          </cell>
          <cell r="O28">
            <v>10946</v>
          </cell>
          <cell r="P28">
            <v>11078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131161.70336933911</v>
          </cell>
          <cell r="F29">
            <v>113204.4892639867</v>
          </cell>
          <cell r="G29">
            <v>98994.493832648266</v>
          </cell>
          <cell r="H29">
            <v>86662.701071889722</v>
          </cell>
          <cell r="I29">
            <v>60395.257544803855</v>
          </cell>
          <cell r="J29">
            <v>56272.47640375777</v>
          </cell>
          <cell r="K29">
            <v>60394.360305884591</v>
          </cell>
          <cell r="L29">
            <v>57016.204725909331</v>
          </cell>
          <cell r="M29">
            <v>60397.374601218013</v>
          </cell>
          <cell r="N29">
            <v>58890.058874441638</v>
          </cell>
          <cell r="O29">
            <v>66949.02573420605</v>
          </cell>
          <cell r="P29">
            <v>81682.338248232452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135752.36298726598</v>
          </cell>
          <cell r="F30">
            <v>117166.64638822623</v>
          </cell>
          <cell r="G30">
            <v>102459.30111679094</v>
          </cell>
          <cell r="H30">
            <v>89695.895609405852</v>
          </cell>
          <cell r="I30">
            <v>62509.091558871987</v>
          </cell>
          <cell r="J30">
            <v>58242.013077889285</v>
          </cell>
          <cell r="K30">
            <v>62508.162916590547</v>
          </cell>
          <cell r="L30">
            <v>59011.771891316152</v>
          </cell>
          <cell r="M30">
            <v>62511.28271226064</v>
          </cell>
          <cell r="N30">
            <v>60951.210935047093</v>
          </cell>
          <cell r="O30">
            <v>69292.241634903257</v>
          </cell>
          <cell r="P30">
            <v>84541.220086920584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9687</v>
          </cell>
          <cell r="F34">
            <v>9696</v>
          </cell>
          <cell r="G34">
            <v>9697</v>
          </cell>
          <cell r="H34">
            <v>9690</v>
          </cell>
          <cell r="I34">
            <v>9678</v>
          </cell>
          <cell r="J34">
            <v>9670</v>
          </cell>
          <cell r="K34">
            <v>9667</v>
          </cell>
          <cell r="L34">
            <v>9663</v>
          </cell>
          <cell r="M34">
            <v>9660</v>
          </cell>
          <cell r="N34">
            <v>9660</v>
          </cell>
          <cell r="O34">
            <v>9664</v>
          </cell>
          <cell r="P34">
            <v>9671</v>
          </cell>
          <cell r="T34">
            <v>31</v>
          </cell>
          <cell r="U34" t="str">
            <v>Residential</v>
          </cell>
          <cell r="X34">
            <v>9631</v>
          </cell>
          <cell r="Y34">
            <v>9643</v>
          </cell>
          <cell r="Z34">
            <v>9647</v>
          </cell>
          <cell r="AA34">
            <v>9638</v>
          </cell>
          <cell r="AB34">
            <v>9628</v>
          </cell>
          <cell r="AC34">
            <v>9622</v>
          </cell>
          <cell r="AD34">
            <v>9617</v>
          </cell>
          <cell r="AE34">
            <v>9614</v>
          </cell>
          <cell r="AF34">
            <v>9611</v>
          </cell>
          <cell r="AG34">
            <v>9609</v>
          </cell>
          <cell r="AH34">
            <v>9610</v>
          </cell>
          <cell r="AI34">
            <v>9615</v>
          </cell>
        </row>
        <row r="35">
          <cell r="A35">
            <v>32</v>
          </cell>
          <cell r="B35" t="str">
            <v>Commercial</v>
          </cell>
          <cell r="E35">
            <v>1073</v>
          </cell>
          <cell r="F35">
            <v>1068</v>
          </cell>
          <cell r="G35">
            <v>1065</v>
          </cell>
          <cell r="H35">
            <v>1066</v>
          </cell>
          <cell r="I35">
            <v>1071</v>
          </cell>
          <cell r="J35">
            <v>1077</v>
          </cell>
          <cell r="K35">
            <v>1081</v>
          </cell>
          <cell r="L35">
            <v>1085</v>
          </cell>
          <cell r="M35">
            <v>1088</v>
          </cell>
          <cell r="N35">
            <v>1090</v>
          </cell>
          <cell r="O35">
            <v>1091</v>
          </cell>
          <cell r="P35">
            <v>1091</v>
          </cell>
          <cell r="T35">
            <v>32</v>
          </cell>
          <cell r="U35" t="str">
            <v>Commercial</v>
          </cell>
          <cell r="X35">
            <v>1041</v>
          </cell>
          <cell r="Y35">
            <v>1040</v>
          </cell>
          <cell r="Z35">
            <v>1040</v>
          </cell>
          <cell r="AA35">
            <v>1044</v>
          </cell>
          <cell r="AB35">
            <v>1052</v>
          </cell>
          <cell r="AC35">
            <v>1061</v>
          </cell>
          <cell r="AD35">
            <v>1065</v>
          </cell>
          <cell r="AE35">
            <v>1069</v>
          </cell>
          <cell r="AF35">
            <v>1073</v>
          </cell>
          <cell r="AG35">
            <v>1074</v>
          </cell>
          <cell r="AH35">
            <v>1074</v>
          </cell>
          <cell r="AI35">
            <v>1075</v>
          </cell>
        </row>
        <row r="36">
          <cell r="A36">
            <v>33</v>
          </cell>
          <cell r="B36" t="str">
            <v xml:space="preserve">Industrial </v>
          </cell>
          <cell r="E36">
            <v>24</v>
          </cell>
          <cell r="F36">
            <v>26</v>
          </cell>
          <cell r="G36">
            <v>27</v>
          </cell>
          <cell r="H36">
            <v>28</v>
          </cell>
          <cell r="I36">
            <v>28</v>
          </cell>
          <cell r="J36">
            <v>28</v>
          </cell>
          <cell r="K36">
            <v>28</v>
          </cell>
          <cell r="L36">
            <v>28</v>
          </cell>
          <cell r="M36">
            <v>28</v>
          </cell>
          <cell r="N36">
            <v>28</v>
          </cell>
          <cell r="O36">
            <v>28</v>
          </cell>
          <cell r="P36">
            <v>28</v>
          </cell>
          <cell r="T36">
            <v>33</v>
          </cell>
          <cell r="U36" t="str">
            <v xml:space="preserve">Industrial </v>
          </cell>
          <cell r="X36">
            <v>21</v>
          </cell>
          <cell r="Y36">
            <v>21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21</v>
          </cell>
          <cell r="AE36">
            <v>21</v>
          </cell>
          <cell r="AF36">
            <v>21</v>
          </cell>
          <cell r="AG36">
            <v>22</v>
          </cell>
          <cell r="AH36">
            <v>22</v>
          </cell>
          <cell r="AI36">
            <v>22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10784</v>
          </cell>
          <cell r="F38">
            <v>10790</v>
          </cell>
          <cell r="G38">
            <v>10789</v>
          </cell>
          <cell r="H38">
            <v>10784</v>
          </cell>
          <cell r="I38">
            <v>10777</v>
          </cell>
          <cell r="J38">
            <v>10775</v>
          </cell>
          <cell r="K38">
            <v>10776</v>
          </cell>
          <cell r="L38">
            <v>10776</v>
          </cell>
          <cell r="M38">
            <v>10776</v>
          </cell>
          <cell r="N38">
            <v>10778</v>
          </cell>
          <cell r="O38">
            <v>10783</v>
          </cell>
          <cell r="P38">
            <v>10790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10693</v>
          </cell>
          <cell r="Y38">
            <v>10704</v>
          </cell>
          <cell r="Z38">
            <v>10707</v>
          </cell>
          <cell r="AA38">
            <v>10702</v>
          </cell>
          <cell r="AB38">
            <v>10700</v>
          </cell>
          <cell r="AC38">
            <v>10703</v>
          </cell>
          <cell r="AD38">
            <v>10703</v>
          </cell>
          <cell r="AE38">
            <v>10704</v>
          </cell>
          <cell r="AF38">
            <v>10705</v>
          </cell>
          <cell r="AG38">
            <v>10705</v>
          </cell>
          <cell r="AH38">
            <v>10706</v>
          </cell>
          <cell r="AI38">
            <v>10712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43114</v>
          </cell>
          <cell r="F41">
            <v>95858</v>
          </cell>
          <cell r="G41">
            <v>136547</v>
          </cell>
          <cell r="H41">
            <v>160985</v>
          </cell>
          <cell r="I41">
            <v>169401</v>
          </cell>
          <cell r="J41">
            <v>175952</v>
          </cell>
          <cell r="K41">
            <v>182080</v>
          </cell>
          <cell r="L41">
            <v>187760</v>
          </cell>
          <cell r="M41">
            <v>193772</v>
          </cell>
          <cell r="N41">
            <v>199638</v>
          </cell>
          <cell r="O41">
            <v>218633</v>
          </cell>
          <cell r="P41">
            <v>253149</v>
          </cell>
          <cell r="T41">
            <v>38</v>
          </cell>
          <cell r="U41" t="str">
            <v>Residential</v>
          </cell>
          <cell r="X41">
            <v>68205</v>
          </cell>
          <cell r="Y41">
            <v>114325</v>
          </cell>
          <cell r="Z41">
            <v>149763</v>
          </cell>
          <cell r="AA41">
            <v>182256</v>
          </cell>
          <cell r="AB41">
            <v>194544</v>
          </cell>
          <cell r="AC41">
            <v>200848</v>
          </cell>
          <cell r="AD41">
            <v>207073</v>
          </cell>
          <cell r="AE41">
            <v>212595</v>
          </cell>
          <cell r="AF41">
            <v>218118</v>
          </cell>
          <cell r="AG41">
            <v>223786</v>
          </cell>
          <cell r="AH41">
            <v>239531</v>
          </cell>
          <cell r="AI41">
            <v>276425</v>
          </cell>
        </row>
        <row r="42">
          <cell r="A42">
            <v>39</v>
          </cell>
          <cell r="B42" t="str">
            <v>Commercial</v>
          </cell>
          <cell r="E42">
            <v>26356</v>
          </cell>
          <cell r="F42">
            <v>56473</v>
          </cell>
          <cell r="G42">
            <v>83206</v>
          </cell>
          <cell r="H42">
            <v>105986</v>
          </cell>
          <cell r="I42">
            <v>123973</v>
          </cell>
          <cell r="J42">
            <v>145435</v>
          </cell>
          <cell r="K42">
            <v>171627</v>
          </cell>
          <cell r="L42">
            <v>197690</v>
          </cell>
          <cell r="M42">
            <v>224491</v>
          </cell>
          <cell r="N42">
            <v>242769</v>
          </cell>
          <cell r="O42">
            <v>259608</v>
          </cell>
          <cell r="P42">
            <v>281473</v>
          </cell>
          <cell r="T42">
            <v>39</v>
          </cell>
          <cell r="U42" t="str">
            <v>Commercial</v>
          </cell>
          <cell r="X42">
            <v>45386</v>
          </cell>
          <cell r="Y42">
            <v>80541</v>
          </cell>
          <cell r="Z42">
            <v>111540</v>
          </cell>
          <cell r="AA42">
            <v>144266</v>
          </cell>
          <cell r="AB42">
            <v>171380</v>
          </cell>
          <cell r="AC42">
            <v>197441</v>
          </cell>
          <cell r="AD42">
            <v>228374</v>
          </cell>
          <cell r="AE42">
            <v>256310</v>
          </cell>
          <cell r="AF42">
            <v>284611</v>
          </cell>
          <cell r="AG42">
            <v>304353</v>
          </cell>
          <cell r="AH42">
            <v>322185</v>
          </cell>
          <cell r="AI42">
            <v>345958</v>
          </cell>
        </row>
        <row r="43">
          <cell r="A43">
            <v>40</v>
          </cell>
          <cell r="B43" t="str">
            <v xml:space="preserve">Industrial </v>
          </cell>
          <cell r="E43">
            <v>27207</v>
          </cell>
          <cell r="F43">
            <v>50777</v>
          </cell>
          <cell r="G43">
            <v>77252</v>
          </cell>
          <cell r="H43">
            <v>105040</v>
          </cell>
          <cell r="I43">
            <v>129651</v>
          </cell>
          <cell r="J43">
            <v>152368</v>
          </cell>
          <cell r="K43">
            <v>176732</v>
          </cell>
          <cell r="L43">
            <v>202377</v>
          </cell>
          <cell r="M43">
            <v>228296</v>
          </cell>
          <cell r="N43">
            <v>255857</v>
          </cell>
          <cell r="O43">
            <v>287699</v>
          </cell>
          <cell r="P43">
            <v>321826</v>
          </cell>
          <cell r="T43">
            <v>40</v>
          </cell>
          <cell r="U43" t="str">
            <v xml:space="preserve">Industrial </v>
          </cell>
          <cell r="X43">
            <v>16346</v>
          </cell>
          <cell r="Y43">
            <v>32218</v>
          </cell>
          <cell r="Z43">
            <v>50195</v>
          </cell>
          <cell r="AA43">
            <v>70039</v>
          </cell>
          <cell r="AB43">
            <v>85230</v>
          </cell>
          <cell r="AC43">
            <v>108794</v>
          </cell>
          <cell r="AD43">
            <v>125298</v>
          </cell>
          <cell r="AE43">
            <v>142481</v>
          </cell>
          <cell r="AF43">
            <v>157243</v>
          </cell>
          <cell r="AG43">
            <v>178883</v>
          </cell>
          <cell r="AH43">
            <v>205718</v>
          </cell>
          <cell r="AI43">
            <v>227005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96677</v>
          </cell>
          <cell r="F45">
            <v>203108</v>
          </cell>
          <cell r="G45">
            <v>297005</v>
          </cell>
          <cell r="H45">
            <v>372011</v>
          </cell>
          <cell r="I45">
            <v>423025</v>
          </cell>
          <cell r="J45">
            <v>473755</v>
          </cell>
          <cell r="K45">
            <v>530439</v>
          </cell>
          <cell r="L45">
            <v>587827</v>
          </cell>
          <cell r="M45">
            <v>646559</v>
          </cell>
          <cell r="N45">
            <v>698264</v>
          </cell>
          <cell r="O45">
            <v>765940</v>
          </cell>
          <cell r="P45">
            <v>856448</v>
          </cell>
          <cell r="T45">
            <v>42</v>
          </cell>
          <cell r="U45" t="str">
            <v>Total Volume</v>
          </cell>
          <cell r="X45">
            <v>129937</v>
          </cell>
          <cell r="Y45">
            <v>227084</v>
          </cell>
          <cell r="Z45">
            <v>311498</v>
          </cell>
          <cell r="AA45">
            <v>396561</v>
          </cell>
          <cell r="AB45">
            <v>451154</v>
          </cell>
          <cell r="AC45">
            <v>507083</v>
          </cell>
          <cell r="AD45">
            <v>560745</v>
          </cell>
          <cell r="AE45">
            <v>611386</v>
          </cell>
          <cell r="AF45">
            <v>659972</v>
          </cell>
          <cell r="AG45">
            <v>707022</v>
          </cell>
          <cell r="AH45">
            <v>767434</v>
          </cell>
          <cell r="AI45">
            <v>849388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- 2017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45039</v>
          </cell>
          <cell r="F48">
            <v>100051</v>
          </cell>
          <cell r="G48">
            <v>142462</v>
          </cell>
          <cell r="H48">
            <v>167891</v>
          </cell>
          <cell r="I48">
            <v>176636</v>
          </cell>
          <cell r="J48">
            <v>183442</v>
          </cell>
          <cell r="K48">
            <v>189814</v>
          </cell>
          <cell r="L48">
            <v>195750</v>
          </cell>
          <cell r="M48">
            <v>201992</v>
          </cell>
          <cell r="N48">
            <v>208092</v>
          </cell>
          <cell r="O48">
            <v>227826</v>
          </cell>
          <cell r="P48">
            <v>263541</v>
          </cell>
          <cell r="T48">
            <v>45</v>
          </cell>
          <cell r="U48" t="str">
            <v>Residential</v>
          </cell>
          <cell r="X48">
            <v>71599</v>
          </cell>
          <cell r="Y48">
            <v>119838</v>
          </cell>
          <cell r="Z48">
            <v>156928</v>
          </cell>
          <cell r="AA48">
            <v>190806</v>
          </cell>
          <cell r="AB48">
            <v>203619</v>
          </cell>
          <cell r="AC48">
            <v>210212</v>
          </cell>
          <cell r="AD48">
            <v>216718</v>
          </cell>
          <cell r="AE48">
            <v>222470</v>
          </cell>
          <cell r="AF48">
            <v>228239</v>
          </cell>
          <cell r="AG48">
            <v>234135</v>
          </cell>
          <cell r="AH48">
            <v>250533</v>
          </cell>
          <cell r="AI48">
            <v>289010</v>
          </cell>
        </row>
        <row r="49">
          <cell r="A49">
            <v>46</v>
          </cell>
          <cell r="B49" t="str">
            <v>Commercial</v>
          </cell>
          <cell r="E49">
            <v>27533</v>
          </cell>
          <cell r="F49">
            <v>58945</v>
          </cell>
          <cell r="G49">
            <v>86810</v>
          </cell>
          <cell r="H49">
            <v>110514</v>
          </cell>
          <cell r="I49">
            <v>129205</v>
          </cell>
          <cell r="J49">
            <v>151502</v>
          </cell>
          <cell r="K49">
            <v>178736</v>
          </cell>
          <cell r="L49">
            <v>205975</v>
          </cell>
          <cell r="M49">
            <v>233801</v>
          </cell>
          <cell r="N49">
            <v>252807</v>
          </cell>
          <cell r="O49">
            <v>270301</v>
          </cell>
          <cell r="P49">
            <v>292925</v>
          </cell>
          <cell r="T49">
            <v>46</v>
          </cell>
          <cell r="U49" t="str">
            <v>Commercial</v>
          </cell>
          <cell r="X49">
            <v>47644</v>
          </cell>
          <cell r="Y49">
            <v>84414</v>
          </cell>
          <cell r="Z49">
            <v>116858</v>
          </cell>
          <cell r="AA49">
            <v>150979</v>
          </cell>
          <cell r="AB49">
            <v>179251</v>
          </cell>
          <cell r="AC49">
            <v>206507</v>
          </cell>
          <cell r="AD49">
            <v>238839</v>
          </cell>
          <cell r="AE49">
            <v>267940</v>
          </cell>
          <cell r="AF49">
            <v>297502</v>
          </cell>
          <cell r="AG49">
            <v>318038</v>
          </cell>
          <cell r="AH49">
            <v>336610</v>
          </cell>
          <cell r="AI49">
            <v>361403</v>
          </cell>
        </row>
        <row r="50">
          <cell r="A50">
            <v>47</v>
          </cell>
          <cell r="B50" t="str">
            <v xml:space="preserve">Industrial </v>
          </cell>
          <cell r="E50">
            <v>28422</v>
          </cell>
          <cell r="F50">
            <v>53006</v>
          </cell>
          <cell r="G50">
            <v>80602</v>
          </cell>
          <cell r="H50">
            <v>109517</v>
          </cell>
          <cell r="I50">
            <v>135091</v>
          </cell>
          <cell r="J50">
            <v>158692</v>
          </cell>
          <cell r="K50">
            <v>184025</v>
          </cell>
          <cell r="L50">
            <v>210827</v>
          </cell>
          <cell r="M50">
            <v>237737</v>
          </cell>
          <cell r="N50">
            <v>266396</v>
          </cell>
          <cell r="O50">
            <v>299477</v>
          </cell>
          <cell r="P50">
            <v>334789</v>
          </cell>
          <cell r="T50">
            <v>47</v>
          </cell>
          <cell r="U50" t="str">
            <v xml:space="preserve">Industrial </v>
          </cell>
          <cell r="X50">
            <v>17159</v>
          </cell>
          <cell r="Y50">
            <v>33760</v>
          </cell>
          <cell r="Z50">
            <v>52575</v>
          </cell>
          <cell r="AA50">
            <v>73265</v>
          </cell>
          <cell r="AB50">
            <v>89105</v>
          </cell>
          <cell r="AC50">
            <v>113749</v>
          </cell>
          <cell r="AD50">
            <v>130999</v>
          </cell>
          <cell r="AE50">
            <v>148898</v>
          </cell>
          <cell r="AF50">
            <v>164318</v>
          </cell>
          <cell r="AG50">
            <v>186829</v>
          </cell>
          <cell r="AH50">
            <v>214777</v>
          </cell>
          <cell r="AI50">
            <v>236977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100994</v>
          </cell>
          <cell r="F52">
            <v>212002</v>
          </cell>
          <cell r="G52">
            <v>309874</v>
          </cell>
          <cell r="H52">
            <v>387922</v>
          </cell>
          <cell r="I52">
            <v>440932</v>
          </cell>
          <cell r="J52">
            <v>493636</v>
          </cell>
          <cell r="K52">
            <v>552575</v>
          </cell>
          <cell r="L52">
            <v>612552</v>
          </cell>
          <cell r="M52">
            <v>673530</v>
          </cell>
          <cell r="N52">
            <v>727295</v>
          </cell>
          <cell r="O52">
            <v>797604</v>
          </cell>
          <cell r="P52">
            <v>891255</v>
          </cell>
          <cell r="T52">
            <v>49</v>
          </cell>
          <cell r="U52" t="str">
            <v>Total Volume</v>
          </cell>
          <cell r="W52">
            <v>0</v>
          </cell>
          <cell r="X52">
            <v>136402</v>
          </cell>
          <cell r="Y52">
            <v>238012</v>
          </cell>
          <cell r="Z52">
            <v>326361</v>
          </cell>
          <cell r="AA52">
            <v>415050</v>
          </cell>
          <cell r="AB52">
            <v>471975</v>
          </cell>
          <cell r="AC52">
            <v>530468</v>
          </cell>
          <cell r="AD52">
            <v>586556</v>
          </cell>
          <cell r="AE52">
            <v>639308</v>
          </cell>
          <cell r="AF52">
            <v>690059</v>
          </cell>
          <cell r="AG52">
            <v>739002</v>
          </cell>
          <cell r="AH52">
            <v>801920</v>
          </cell>
          <cell r="AI52">
            <v>887390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10970</v>
          </cell>
          <cell r="F55">
            <v>11008</v>
          </cell>
          <cell r="G55">
            <v>11035</v>
          </cell>
          <cell r="H55">
            <v>11065</v>
          </cell>
          <cell r="I55">
            <v>11092</v>
          </cell>
          <cell r="J55">
            <v>10961</v>
          </cell>
          <cell r="K55">
            <v>10909</v>
          </cell>
          <cell r="L55">
            <v>10882</v>
          </cell>
          <cell r="M55">
            <v>10870</v>
          </cell>
          <cell r="N55">
            <v>10870</v>
          </cell>
          <cell r="O55">
            <v>10877</v>
          </cell>
          <cell r="P55">
            <v>10894</v>
          </cell>
        </row>
        <row r="56">
          <cell r="A56">
            <v>53</v>
          </cell>
          <cell r="B56" t="str">
            <v>Cumulative Budget YTD Volume (Mcfs)</v>
          </cell>
          <cell r="E56">
            <v>131161.70336933911</v>
          </cell>
          <cell r="F56">
            <v>244366.19263332582</v>
          </cell>
          <cell r="G56">
            <v>343360.68646597408</v>
          </cell>
          <cell r="H56">
            <v>430023.3875378638</v>
          </cell>
          <cell r="I56">
            <v>490418.64508266764</v>
          </cell>
          <cell r="J56">
            <v>546691.1214864254</v>
          </cell>
          <cell r="K56">
            <v>607085.48179231002</v>
          </cell>
          <cell r="L56">
            <v>664101.6865182193</v>
          </cell>
          <cell r="M56">
            <v>724499.06111943733</v>
          </cell>
          <cell r="N56">
            <v>783389.11999387899</v>
          </cell>
          <cell r="O56">
            <v>850338.14572808507</v>
          </cell>
          <cell r="P56">
            <v>932020.48397631757</v>
          </cell>
        </row>
        <row r="57">
          <cell r="A57">
            <v>54</v>
          </cell>
          <cell r="B57" t="str">
            <v>Cumulative YTD Budget Volume (Dts) * 1.035</v>
          </cell>
          <cell r="E57">
            <v>135752.36298726598</v>
          </cell>
          <cell r="F57">
            <v>252919.00937549223</v>
          </cell>
          <cell r="G57">
            <v>355378.3104922832</v>
          </cell>
          <cell r="H57">
            <v>445074.20610168902</v>
          </cell>
          <cell r="I57">
            <v>507583.29766056099</v>
          </cell>
          <cell r="J57">
            <v>565825.31073845027</v>
          </cell>
          <cell r="K57">
            <v>628333.47365504084</v>
          </cell>
          <cell r="L57">
            <v>687345.24554635701</v>
          </cell>
          <cell r="M57">
            <v>749856.52825861762</v>
          </cell>
          <cell r="N57">
            <v>810807.73919366475</v>
          </cell>
          <cell r="O57">
            <v>880099.98082856799</v>
          </cell>
          <cell r="P57">
            <v>964641.20091548853</v>
          </cell>
        </row>
      </sheetData>
      <sheetData sheetId="14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17261.583333333332</v>
          </cell>
          <cell r="E5">
            <v>16901</v>
          </cell>
          <cell r="F5">
            <v>16992</v>
          </cell>
          <cell r="G5">
            <v>17072</v>
          </cell>
          <cell r="H5">
            <v>17219</v>
          </cell>
          <cell r="I5">
            <v>17186</v>
          </cell>
          <cell r="J5">
            <v>17209</v>
          </cell>
          <cell r="K5">
            <v>17265</v>
          </cell>
          <cell r="L5">
            <v>17366</v>
          </cell>
          <cell r="M5">
            <v>17395</v>
          </cell>
          <cell r="N5">
            <v>17414</v>
          </cell>
          <cell r="O5">
            <v>17513</v>
          </cell>
          <cell r="P5">
            <v>17607</v>
          </cell>
          <cell r="T5">
            <v>2</v>
          </cell>
          <cell r="U5" t="str">
            <v>Residential</v>
          </cell>
          <cell r="V5">
            <v>16450</v>
          </cell>
          <cell r="W5">
            <v>197403</v>
          </cell>
          <cell r="X5">
            <v>16138</v>
          </cell>
          <cell r="Y5">
            <v>16220</v>
          </cell>
          <cell r="Z5">
            <v>16311</v>
          </cell>
          <cell r="AA5">
            <v>16399</v>
          </cell>
          <cell r="AB5">
            <v>16379</v>
          </cell>
          <cell r="AC5">
            <v>16395</v>
          </cell>
          <cell r="AD5">
            <v>16455</v>
          </cell>
          <cell r="AE5">
            <v>16463</v>
          </cell>
          <cell r="AF5">
            <v>16533</v>
          </cell>
          <cell r="AG5">
            <v>16568</v>
          </cell>
          <cell r="AH5">
            <v>16720</v>
          </cell>
          <cell r="AI5">
            <v>16822</v>
          </cell>
        </row>
        <row r="6">
          <cell r="A6">
            <v>3</v>
          </cell>
          <cell r="B6" t="str">
            <v>Commercial</v>
          </cell>
          <cell r="D6">
            <v>1546.1666666666667</v>
          </cell>
          <cell r="E6">
            <v>1527</v>
          </cell>
          <cell r="F6">
            <v>1527</v>
          </cell>
          <cell r="G6">
            <v>1534</v>
          </cell>
          <cell r="H6">
            <v>1549</v>
          </cell>
          <cell r="I6">
            <v>1541</v>
          </cell>
          <cell r="J6">
            <v>1542</v>
          </cell>
          <cell r="K6">
            <v>1556</v>
          </cell>
          <cell r="L6">
            <v>1564</v>
          </cell>
          <cell r="M6">
            <v>1545</v>
          </cell>
          <cell r="N6">
            <v>1548</v>
          </cell>
          <cell r="O6">
            <v>1553</v>
          </cell>
          <cell r="P6">
            <v>1568</v>
          </cell>
          <cell r="T6">
            <v>3</v>
          </cell>
          <cell r="U6" t="str">
            <v>Commercial</v>
          </cell>
          <cell r="V6">
            <v>1519</v>
          </cell>
          <cell r="W6">
            <v>18230</v>
          </cell>
          <cell r="X6">
            <v>1498</v>
          </cell>
          <cell r="Y6">
            <v>1502</v>
          </cell>
          <cell r="Z6">
            <v>1504</v>
          </cell>
          <cell r="AA6">
            <v>1514</v>
          </cell>
          <cell r="AB6">
            <v>1520</v>
          </cell>
          <cell r="AC6">
            <v>1516</v>
          </cell>
          <cell r="AD6">
            <v>1507</v>
          </cell>
          <cell r="AE6">
            <v>1507</v>
          </cell>
          <cell r="AF6">
            <v>1512</v>
          </cell>
          <cell r="AG6">
            <v>1520</v>
          </cell>
          <cell r="AH6">
            <v>1528</v>
          </cell>
          <cell r="AI6">
            <v>1602</v>
          </cell>
        </row>
        <row r="7">
          <cell r="A7">
            <v>4</v>
          </cell>
          <cell r="B7" t="str">
            <v xml:space="preserve">Industrial </v>
          </cell>
          <cell r="D7">
            <v>16.833333333333332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17</v>
          </cell>
          <cell r="L7">
            <v>17</v>
          </cell>
          <cell r="M7">
            <v>17</v>
          </cell>
          <cell r="N7">
            <v>17</v>
          </cell>
          <cell r="O7">
            <v>16</v>
          </cell>
          <cell r="P7">
            <v>16</v>
          </cell>
          <cell r="T7">
            <v>4</v>
          </cell>
          <cell r="U7" t="str">
            <v xml:space="preserve">Industrial </v>
          </cell>
          <cell r="V7">
            <v>16</v>
          </cell>
          <cell r="W7">
            <v>196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17</v>
          </cell>
          <cell r="AF7">
            <v>17</v>
          </cell>
          <cell r="AG7">
            <v>17</v>
          </cell>
          <cell r="AH7">
            <v>17</v>
          </cell>
          <cell r="AI7">
            <v>17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18824.583333333332</v>
          </cell>
          <cell r="E9">
            <v>18445</v>
          </cell>
          <cell r="F9">
            <v>18536</v>
          </cell>
          <cell r="G9">
            <v>18623</v>
          </cell>
          <cell r="H9">
            <v>18785</v>
          </cell>
          <cell r="I9">
            <v>18744</v>
          </cell>
          <cell r="J9">
            <v>18768</v>
          </cell>
          <cell r="K9">
            <v>18838</v>
          </cell>
          <cell r="L9">
            <v>18947</v>
          </cell>
          <cell r="M9">
            <v>18957</v>
          </cell>
          <cell r="N9">
            <v>18979</v>
          </cell>
          <cell r="O9">
            <v>19082</v>
          </cell>
          <cell r="P9">
            <v>19191</v>
          </cell>
          <cell r="T9">
            <v>6</v>
          </cell>
          <cell r="U9" t="str">
            <v>Total customers</v>
          </cell>
          <cell r="V9">
            <v>17985</v>
          </cell>
          <cell r="W9">
            <v>215829</v>
          </cell>
          <cell r="X9">
            <v>17651</v>
          </cell>
          <cell r="Y9">
            <v>17737</v>
          </cell>
          <cell r="Z9">
            <v>17830</v>
          </cell>
          <cell r="AA9">
            <v>17928</v>
          </cell>
          <cell r="AB9">
            <v>17916</v>
          </cell>
          <cell r="AC9">
            <v>17928</v>
          </cell>
          <cell r="AD9">
            <v>17979</v>
          </cell>
          <cell r="AE9">
            <v>17987</v>
          </cell>
          <cell r="AF9">
            <v>18062</v>
          </cell>
          <cell r="AG9">
            <v>18105</v>
          </cell>
          <cell r="AH9">
            <v>18265</v>
          </cell>
          <cell r="AI9">
            <v>18441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- 2019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352104.10653422866</v>
          </cell>
          <cell r="E12">
            <v>47993.962411140325</v>
          </cell>
          <cell r="F12">
            <v>44089.784789171288</v>
          </cell>
          <cell r="G12">
            <v>37307.137988119583</v>
          </cell>
          <cell r="H12">
            <v>36187.360015580874</v>
          </cell>
          <cell r="I12">
            <v>25590.125620800467</v>
          </cell>
          <cell r="J12">
            <v>19355.039439088803</v>
          </cell>
          <cell r="K12">
            <v>16172.558184828124</v>
          </cell>
          <cell r="L12">
            <v>18054.654786249965</v>
          </cell>
          <cell r="M12">
            <v>17194.665498100127</v>
          </cell>
          <cell r="N12">
            <v>19854.169831531879</v>
          </cell>
          <cell r="O12">
            <v>27968.730158729955</v>
          </cell>
          <cell r="P12">
            <v>42335.91781088728</v>
          </cell>
          <cell r="T12">
            <v>9</v>
          </cell>
          <cell r="U12" t="str">
            <v>Residential</v>
          </cell>
          <cell r="W12">
            <v>359398.38348427304</v>
          </cell>
          <cell r="X12">
            <v>58513.487194468791</v>
          </cell>
          <cell r="Y12">
            <v>37865.907099035932</v>
          </cell>
          <cell r="Z12">
            <v>40369.364105560424</v>
          </cell>
          <cell r="AA12">
            <v>37853.92930178206</v>
          </cell>
          <cell r="AB12">
            <v>24110.234686921802</v>
          </cell>
          <cell r="AC12">
            <v>21293.212581556141</v>
          </cell>
          <cell r="AD12">
            <v>17416.593631317559</v>
          </cell>
          <cell r="AE12">
            <v>17066.510857921901</v>
          </cell>
          <cell r="AF12">
            <v>17178.011490894925</v>
          </cell>
          <cell r="AG12">
            <v>16925.893465770765</v>
          </cell>
          <cell r="AH12">
            <v>29335.378323108383</v>
          </cell>
          <cell r="AI12">
            <v>41469.860745934362</v>
          </cell>
        </row>
        <row r="13">
          <cell r="A13">
            <v>10</v>
          </cell>
          <cell r="B13" t="str">
            <v>Commercial</v>
          </cell>
          <cell r="D13">
            <v>4475776.0278508132</v>
          </cell>
          <cell r="E13">
            <v>426088.71360405104</v>
          </cell>
          <cell r="F13">
            <v>382196.22163793945</v>
          </cell>
          <cell r="G13">
            <v>407767.35806797154</v>
          </cell>
          <cell r="H13">
            <v>371572.40237608337</v>
          </cell>
          <cell r="I13">
            <v>381325.25075469859</v>
          </cell>
          <cell r="J13">
            <v>361014.52527023084</v>
          </cell>
          <cell r="K13">
            <v>357188.7233420976</v>
          </cell>
          <cell r="L13">
            <v>349571.08189697156</v>
          </cell>
          <cell r="M13">
            <v>311514.06758204306</v>
          </cell>
          <cell r="N13">
            <v>360622.00993280747</v>
          </cell>
          <cell r="O13">
            <v>378829.50433343073</v>
          </cell>
          <cell r="P13">
            <v>388086.16905248811</v>
          </cell>
          <cell r="T13">
            <v>10</v>
          </cell>
          <cell r="U13" t="str">
            <v>Commercial</v>
          </cell>
          <cell r="W13">
            <v>4596092.6088226698</v>
          </cell>
          <cell r="X13">
            <v>428117.92774369463</v>
          </cell>
          <cell r="Y13">
            <v>378326.41932028433</v>
          </cell>
          <cell r="Z13">
            <v>397114.03252507548</v>
          </cell>
          <cell r="AA13">
            <v>382393.90398286103</v>
          </cell>
          <cell r="AB13">
            <v>360169.24724900187</v>
          </cell>
          <cell r="AC13">
            <v>360236.92667250946</v>
          </cell>
          <cell r="AD13">
            <v>361729.76920829678</v>
          </cell>
          <cell r="AE13">
            <v>387291.84925503941</v>
          </cell>
          <cell r="AF13">
            <v>379223.00126594602</v>
          </cell>
          <cell r="AG13">
            <v>380635.31015678257</v>
          </cell>
          <cell r="AH13">
            <v>390483.98091342876</v>
          </cell>
          <cell r="AI13">
            <v>390370.24052974972</v>
          </cell>
        </row>
        <row r="14">
          <cell r="A14">
            <v>11</v>
          </cell>
          <cell r="B14" t="str">
            <v xml:space="preserve">Industrial </v>
          </cell>
          <cell r="D14">
            <v>27768125.251728505</v>
          </cell>
          <cell r="E14">
            <v>2620432.7587885871</v>
          </cell>
          <cell r="F14">
            <v>2190278.118609407</v>
          </cell>
          <cell r="G14">
            <v>2331026.3608920048</v>
          </cell>
          <cell r="H14">
            <v>2148051.5142662381</v>
          </cell>
          <cell r="I14">
            <v>2503051.8064076346</v>
          </cell>
          <cell r="J14">
            <v>2229507.0630051615</v>
          </cell>
          <cell r="K14">
            <v>2250134.2876618952</v>
          </cell>
          <cell r="L14">
            <v>2412745.4055896392</v>
          </cell>
          <cell r="M14">
            <v>2172812.8970688484</v>
          </cell>
          <cell r="N14">
            <v>2158220.1986561497</v>
          </cell>
          <cell r="O14">
            <v>2199121.8560716729</v>
          </cell>
          <cell r="P14">
            <v>2552742.9847112675</v>
          </cell>
          <cell r="T14">
            <v>11</v>
          </cell>
          <cell r="U14" t="str">
            <v xml:space="preserve">Industrial </v>
          </cell>
          <cell r="W14">
            <v>19338137.59859772</v>
          </cell>
          <cell r="X14">
            <v>1103223.7803096699</v>
          </cell>
          <cell r="Y14">
            <v>793762.29428376665</v>
          </cell>
          <cell r="Z14">
            <v>1088410.4586619923</v>
          </cell>
          <cell r="AA14">
            <v>934909.33878663939</v>
          </cell>
          <cell r="AB14">
            <v>931591.39156685164</v>
          </cell>
          <cell r="AC14">
            <v>1737492.9399162529</v>
          </cell>
          <cell r="AD14">
            <v>2089263.5115395852</v>
          </cell>
          <cell r="AE14">
            <v>2135557.9900671924</v>
          </cell>
          <cell r="AF14">
            <v>2118314.8310448923</v>
          </cell>
          <cell r="AG14">
            <v>1991621.2873697537</v>
          </cell>
          <cell r="AH14">
            <v>2068151.0371019572</v>
          </cell>
          <cell r="AI14">
            <v>2345838.7379491674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32596005.386113547</v>
          </cell>
          <cell r="E16">
            <v>3094515.4348037783</v>
          </cell>
          <cell r="F16">
            <v>2616564.1250365176</v>
          </cell>
          <cell r="G16">
            <v>2776100.8569480958</v>
          </cell>
          <cell r="H16">
            <v>2555811.2766579022</v>
          </cell>
          <cell r="I16">
            <v>2909967.1827831338</v>
          </cell>
          <cell r="J16">
            <v>2609876.6277144812</v>
          </cell>
          <cell r="K16">
            <v>2623495.5691888211</v>
          </cell>
          <cell r="L16">
            <v>2780371.1422728607</v>
          </cell>
          <cell r="M16">
            <v>2501521.6301489915</v>
          </cell>
          <cell r="N16">
            <v>2538696.3784204889</v>
          </cell>
          <cell r="O16">
            <v>2605920.0905638337</v>
          </cell>
          <cell r="P16">
            <v>2983165.0715746428</v>
          </cell>
          <cell r="T16">
            <v>13</v>
          </cell>
          <cell r="U16" t="str">
            <v>Total Deliveries</v>
          </cell>
          <cell r="W16">
            <v>24293628.590904664</v>
          </cell>
          <cell r="X16">
            <v>1589855.1952478334</v>
          </cell>
          <cell r="Y16">
            <v>1209954.620703087</v>
          </cell>
          <cell r="Z16">
            <v>1525893.8552926283</v>
          </cell>
          <cell r="AA16">
            <v>1355157.1720712825</v>
          </cell>
          <cell r="AB16">
            <v>1315870.8735027753</v>
          </cell>
          <cell r="AC16">
            <v>2119023.0791703183</v>
          </cell>
          <cell r="AD16">
            <v>2468409.8743791995</v>
          </cell>
          <cell r="AE16">
            <v>2539916.3501801537</v>
          </cell>
          <cell r="AF16">
            <v>2514715.8438017331</v>
          </cell>
          <cell r="AG16">
            <v>2389182.4909923072</v>
          </cell>
          <cell r="AH16">
            <v>2487970.3963384945</v>
          </cell>
          <cell r="AI16">
            <v>2777678.8392248517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- 2019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- 2018 -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361577</v>
          </cell>
          <cell r="E21">
            <v>49285</v>
          </cell>
          <cell r="F21">
            <v>45276</v>
          </cell>
          <cell r="G21">
            <v>38311</v>
          </cell>
          <cell r="H21">
            <v>37161</v>
          </cell>
          <cell r="I21">
            <v>26279</v>
          </cell>
          <cell r="J21">
            <v>19876</v>
          </cell>
          <cell r="K21">
            <v>16608</v>
          </cell>
          <cell r="L21">
            <v>18540</v>
          </cell>
          <cell r="M21">
            <v>17657</v>
          </cell>
          <cell r="N21">
            <v>20388</v>
          </cell>
          <cell r="O21">
            <v>28721</v>
          </cell>
          <cell r="P21">
            <v>43475</v>
          </cell>
          <cell r="T21">
            <v>18</v>
          </cell>
          <cell r="U21" t="str">
            <v>Residential</v>
          </cell>
          <cell r="W21">
            <v>369067</v>
          </cell>
          <cell r="X21">
            <v>60088</v>
          </cell>
          <cell r="Y21">
            <v>38885</v>
          </cell>
          <cell r="Z21">
            <v>41455</v>
          </cell>
          <cell r="AA21">
            <v>38872</v>
          </cell>
          <cell r="AB21">
            <v>24759</v>
          </cell>
          <cell r="AC21">
            <v>21866</v>
          </cell>
          <cell r="AD21">
            <v>17885</v>
          </cell>
          <cell r="AE21">
            <v>17526</v>
          </cell>
          <cell r="AF21">
            <v>17640</v>
          </cell>
          <cell r="AG21">
            <v>17381</v>
          </cell>
          <cell r="AH21">
            <v>30125</v>
          </cell>
          <cell r="AI21">
            <v>42585</v>
          </cell>
        </row>
        <row r="22">
          <cell r="A22">
            <v>19</v>
          </cell>
          <cell r="B22" t="str">
            <v>Commercial</v>
          </cell>
          <cell r="D22">
            <v>4596176</v>
          </cell>
          <cell r="E22">
            <v>437551</v>
          </cell>
          <cell r="F22">
            <v>392477</v>
          </cell>
          <cell r="G22">
            <v>418736</v>
          </cell>
          <cell r="H22">
            <v>381568</v>
          </cell>
          <cell r="I22">
            <v>391583</v>
          </cell>
          <cell r="J22">
            <v>370726</v>
          </cell>
          <cell r="K22">
            <v>366797</v>
          </cell>
          <cell r="L22">
            <v>358975</v>
          </cell>
          <cell r="M22">
            <v>319894</v>
          </cell>
          <cell r="N22">
            <v>370323</v>
          </cell>
          <cell r="O22">
            <v>389020</v>
          </cell>
          <cell r="P22">
            <v>398526</v>
          </cell>
          <cell r="T22">
            <v>19</v>
          </cell>
          <cell r="U22" t="str">
            <v>Commercial</v>
          </cell>
          <cell r="W22">
            <v>4719725</v>
          </cell>
          <cell r="X22">
            <v>439634</v>
          </cell>
          <cell r="Y22">
            <v>388503</v>
          </cell>
          <cell r="Z22">
            <v>407796</v>
          </cell>
          <cell r="AA22">
            <v>392680</v>
          </cell>
          <cell r="AB22">
            <v>369858</v>
          </cell>
          <cell r="AC22">
            <v>369927</v>
          </cell>
          <cell r="AD22">
            <v>371460</v>
          </cell>
          <cell r="AE22">
            <v>397710</v>
          </cell>
          <cell r="AF22">
            <v>389424</v>
          </cell>
          <cell r="AG22">
            <v>390874</v>
          </cell>
          <cell r="AH22">
            <v>400988</v>
          </cell>
          <cell r="AI22">
            <v>400871</v>
          </cell>
        </row>
        <row r="23">
          <cell r="A23">
            <v>20</v>
          </cell>
          <cell r="B23" t="str">
            <v xml:space="preserve">Industrial </v>
          </cell>
          <cell r="D23">
            <v>28515088</v>
          </cell>
          <cell r="E23">
            <v>2690922</v>
          </cell>
          <cell r="F23">
            <v>2249197</v>
          </cell>
          <cell r="G23">
            <v>2393731</v>
          </cell>
          <cell r="H23">
            <v>2205834</v>
          </cell>
          <cell r="I23">
            <v>2570384</v>
          </cell>
          <cell r="J23">
            <v>2289481</v>
          </cell>
          <cell r="K23">
            <v>2310663</v>
          </cell>
          <cell r="L23">
            <v>2477648</v>
          </cell>
          <cell r="M23">
            <v>2231262</v>
          </cell>
          <cell r="N23">
            <v>2216276</v>
          </cell>
          <cell r="O23">
            <v>2258278</v>
          </cell>
          <cell r="P23">
            <v>2621412</v>
          </cell>
          <cell r="T23">
            <v>20</v>
          </cell>
          <cell r="U23" t="str">
            <v xml:space="preserve">Industrial </v>
          </cell>
          <cell r="W23">
            <v>19858336</v>
          </cell>
          <cell r="X23">
            <v>1132901</v>
          </cell>
          <cell r="Y23">
            <v>815115</v>
          </cell>
          <cell r="Z23">
            <v>1117689</v>
          </cell>
          <cell r="AA23">
            <v>960058</v>
          </cell>
          <cell r="AB23">
            <v>956651</v>
          </cell>
          <cell r="AC23">
            <v>1784232</v>
          </cell>
          <cell r="AD23">
            <v>2145465</v>
          </cell>
          <cell r="AE23">
            <v>2193005</v>
          </cell>
          <cell r="AF23">
            <v>2175298</v>
          </cell>
          <cell r="AG23">
            <v>2045196</v>
          </cell>
          <cell r="AH23">
            <v>2123784</v>
          </cell>
          <cell r="AI23">
            <v>2408942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33472841</v>
          </cell>
          <cell r="E25">
            <v>3177758</v>
          </cell>
          <cell r="F25">
            <v>2686950</v>
          </cell>
          <cell r="G25">
            <v>2850778</v>
          </cell>
          <cell r="H25">
            <v>2624563</v>
          </cell>
          <cell r="I25">
            <v>2988246</v>
          </cell>
          <cell r="J25">
            <v>2680083</v>
          </cell>
          <cell r="K25">
            <v>2694068</v>
          </cell>
          <cell r="L25">
            <v>2855163</v>
          </cell>
          <cell r="M25">
            <v>2568813</v>
          </cell>
          <cell r="N25">
            <v>2606987</v>
          </cell>
          <cell r="O25">
            <v>2676019</v>
          </cell>
          <cell r="P25">
            <v>3063413</v>
          </cell>
          <cell r="T25">
            <v>22</v>
          </cell>
          <cell r="U25" t="str">
            <v>Total Deliveries</v>
          </cell>
          <cell r="W25">
            <v>24947128</v>
          </cell>
          <cell r="X25">
            <v>1632623</v>
          </cell>
          <cell r="Y25">
            <v>1242503</v>
          </cell>
          <cell r="Z25">
            <v>1566940</v>
          </cell>
          <cell r="AA25">
            <v>1391610</v>
          </cell>
          <cell r="AB25">
            <v>1351268</v>
          </cell>
          <cell r="AC25">
            <v>2176025</v>
          </cell>
          <cell r="AD25">
            <v>2534810</v>
          </cell>
          <cell r="AE25">
            <v>2608241</v>
          </cell>
          <cell r="AF25">
            <v>2582362</v>
          </cell>
          <cell r="AG25">
            <v>2453451</v>
          </cell>
          <cell r="AH25">
            <v>2554897</v>
          </cell>
          <cell r="AI25">
            <v>2852398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17860</v>
          </cell>
          <cell r="F28">
            <v>17934</v>
          </cell>
          <cell r="G28">
            <v>18023</v>
          </cell>
          <cell r="H28">
            <v>18105</v>
          </cell>
          <cell r="I28">
            <v>18051</v>
          </cell>
          <cell r="J28">
            <v>18019</v>
          </cell>
          <cell r="K28">
            <v>18016</v>
          </cell>
          <cell r="L28">
            <v>18056</v>
          </cell>
          <cell r="M28">
            <v>18116</v>
          </cell>
          <cell r="N28">
            <v>18148</v>
          </cell>
          <cell r="O28">
            <v>18297</v>
          </cell>
          <cell r="P28">
            <v>18356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3473656.5061944607</v>
          </cell>
          <cell r="F29">
            <v>3241351.8133942443</v>
          </cell>
          <cell r="G29">
            <v>3458155.7943156301</v>
          </cell>
          <cell r="H29">
            <v>3361210.4822735456</v>
          </cell>
          <cell r="I29">
            <v>3394709.1034266092</v>
          </cell>
          <cell r="J29">
            <v>3309762.7654177933</v>
          </cell>
          <cell r="K29">
            <v>2516214.7953498783</v>
          </cell>
          <cell r="L29">
            <v>3369036.6183061926</v>
          </cell>
          <cell r="M29">
            <v>3269922.4798983475</v>
          </cell>
          <cell r="N29">
            <v>3403239.6416995963</v>
          </cell>
          <cell r="O29">
            <v>3343515.4656541208</v>
          </cell>
          <cell r="P29">
            <v>3437457.3216761877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3567098</v>
          </cell>
          <cell r="F30">
            <v>3328544</v>
          </cell>
          <cell r="G30">
            <v>3551180</v>
          </cell>
          <cell r="H30">
            <v>3451627</v>
          </cell>
          <cell r="I30">
            <v>3486027</v>
          </cell>
          <cell r="J30">
            <v>3398795</v>
          </cell>
          <cell r="K30">
            <v>2583901</v>
          </cell>
          <cell r="L30">
            <v>3459664</v>
          </cell>
          <cell r="M30">
            <v>3357883</v>
          </cell>
          <cell r="N30">
            <v>3494787</v>
          </cell>
          <cell r="O30">
            <v>3433456</v>
          </cell>
          <cell r="P30">
            <v>3529925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16901</v>
          </cell>
          <cell r="F34">
            <v>16947</v>
          </cell>
          <cell r="G34">
            <v>16988</v>
          </cell>
          <cell r="H34">
            <v>17046</v>
          </cell>
          <cell r="I34">
            <v>17074</v>
          </cell>
          <cell r="J34">
            <v>17097</v>
          </cell>
          <cell r="K34">
            <v>17121</v>
          </cell>
          <cell r="L34">
            <v>17151</v>
          </cell>
          <cell r="M34">
            <v>17178</v>
          </cell>
          <cell r="N34">
            <v>17202</v>
          </cell>
          <cell r="O34">
            <v>17230</v>
          </cell>
          <cell r="P34">
            <v>17262</v>
          </cell>
          <cell r="T34">
            <v>31</v>
          </cell>
          <cell r="U34" t="str">
            <v>Residential</v>
          </cell>
          <cell r="X34">
            <v>16138</v>
          </cell>
          <cell r="Y34">
            <v>16179</v>
          </cell>
          <cell r="Z34">
            <v>16223</v>
          </cell>
          <cell r="AA34">
            <v>16267</v>
          </cell>
          <cell r="AB34">
            <v>16289</v>
          </cell>
          <cell r="AC34">
            <v>16307</v>
          </cell>
          <cell r="AD34">
            <v>16328</v>
          </cell>
          <cell r="AE34">
            <v>16345</v>
          </cell>
          <cell r="AF34">
            <v>16366</v>
          </cell>
          <cell r="AG34">
            <v>16386</v>
          </cell>
          <cell r="AH34">
            <v>16416</v>
          </cell>
          <cell r="AI34">
            <v>16450</v>
          </cell>
        </row>
        <row r="35">
          <cell r="A35">
            <v>32</v>
          </cell>
          <cell r="B35" t="str">
            <v>Commercial</v>
          </cell>
          <cell r="E35">
            <v>1527</v>
          </cell>
          <cell r="F35">
            <v>1527</v>
          </cell>
          <cell r="G35">
            <v>1529</v>
          </cell>
          <cell r="H35">
            <v>1534</v>
          </cell>
          <cell r="I35">
            <v>1536</v>
          </cell>
          <cell r="J35">
            <v>1537</v>
          </cell>
          <cell r="K35">
            <v>1539</v>
          </cell>
          <cell r="L35">
            <v>1543</v>
          </cell>
          <cell r="M35">
            <v>1543</v>
          </cell>
          <cell r="N35">
            <v>1543</v>
          </cell>
          <cell r="O35">
            <v>1544</v>
          </cell>
          <cell r="P35">
            <v>1546</v>
          </cell>
          <cell r="T35">
            <v>32</v>
          </cell>
          <cell r="U35" t="str">
            <v>Commercial</v>
          </cell>
          <cell r="X35">
            <v>1498</v>
          </cell>
          <cell r="Y35">
            <v>1500</v>
          </cell>
          <cell r="Z35">
            <v>1501</v>
          </cell>
          <cell r="AA35">
            <v>1505</v>
          </cell>
          <cell r="AB35">
            <v>1508</v>
          </cell>
          <cell r="AC35">
            <v>1509</v>
          </cell>
          <cell r="AD35">
            <v>1509</v>
          </cell>
          <cell r="AE35">
            <v>1509</v>
          </cell>
          <cell r="AF35">
            <v>1509</v>
          </cell>
          <cell r="AG35">
            <v>1510</v>
          </cell>
          <cell r="AH35">
            <v>1512</v>
          </cell>
          <cell r="AI35">
            <v>1519</v>
          </cell>
        </row>
        <row r="36">
          <cell r="A36">
            <v>33</v>
          </cell>
          <cell r="B36" t="str">
            <v xml:space="preserve">Industrial </v>
          </cell>
          <cell r="E36">
            <v>17</v>
          </cell>
          <cell r="F36">
            <v>17</v>
          </cell>
          <cell r="G36">
            <v>17</v>
          </cell>
          <cell r="H36">
            <v>17</v>
          </cell>
          <cell r="I36">
            <v>17</v>
          </cell>
          <cell r="J36">
            <v>17</v>
          </cell>
          <cell r="K36">
            <v>17</v>
          </cell>
          <cell r="L36">
            <v>17</v>
          </cell>
          <cell r="M36">
            <v>17</v>
          </cell>
          <cell r="N36">
            <v>17</v>
          </cell>
          <cell r="O36">
            <v>17</v>
          </cell>
          <cell r="P36">
            <v>17</v>
          </cell>
          <cell r="T36">
            <v>33</v>
          </cell>
          <cell r="U36" t="str">
            <v xml:space="preserve">Industrial </v>
          </cell>
          <cell r="X36">
            <v>15</v>
          </cell>
          <cell r="Y36">
            <v>15</v>
          </cell>
          <cell r="Z36">
            <v>15</v>
          </cell>
          <cell r="AA36">
            <v>15</v>
          </cell>
          <cell r="AB36">
            <v>15</v>
          </cell>
          <cell r="AC36">
            <v>16</v>
          </cell>
          <cell r="AD36">
            <v>16</v>
          </cell>
          <cell r="AE36">
            <v>16</v>
          </cell>
          <cell r="AF36">
            <v>16</v>
          </cell>
          <cell r="AG36">
            <v>16</v>
          </cell>
          <cell r="AH36">
            <v>16</v>
          </cell>
          <cell r="AI36">
            <v>16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18445</v>
          </cell>
          <cell r="F38">
            <v>18491</v>
          </cell>
          <cell r="G38">
            <v>18534</v>
          </cell>
          <cell r="H38">
            <v>18597</v>
          </cell>
          <cell r="I38">
            <v>18627</v>
          </cell>
          <cell r="J38">
            <v>18651</v>
          </cell>
          <cell r="K38">
            <v>18677</v>
          </cell>
          <cell r="L38">
            <v>18711</v>
          </cell>
          <cell r="M38">
            <v>18738</v>
          </cell>
          <cell r="N38">
            <v>18762</v>
          </cell>
          <cell r="O38">
            <v>18791</v>
          </cell>
          <cell r="P38">
            <v>18825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17651</v>
          </cell>
          <cell r="Y38">
            <v>17694</v>
          </cell>
          <cell r="Z38">
            <v>17739</v>
          </cell>
          <cell r="AA38">
            <v>17787</v>
          </cell>
          <cell r="AB38">
            <v>17812</v>
          </cell>
          <cell r="AC38">
            <v>17832</v>
          </cell>
          <cell r="AD38">
            <v>17853</v>
          </cell>
          <cell r="AE38">
            <v>17870</v>
          </cell>
          <cell r="AF38">
            <v>17891</v>
          </cell>
          <cell r="AG38">
            <v>17912</v>
          </cell>
          <cell r="AH38">
            <v>17944</v>
          </cell>
          <cell r="AI38">
            <v>17985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47993.962411140325</v>
          </cell>
          <cell r="F41">
            <v>92083.747200311613</v>
          </cell>
          <cell r="G41">
            <v>129390.88518843119</v>
          </cell>
          <cell r="H41">
            <v>165578.24520401206</v>
          </cell>
          <cell r="I41">
            <v>191168.37082481253</v>
          </cell>
          <cell r="J41">
            <v>210523.41026390134</v>
          </cell>
          <cell r="K41">
            <v>226695.96844872946</v>
          </cell>
          <cell r="L41">
            <v>244750.62323497943</v>
          </cell>
          <cell r="M41">
            <v>261945.28873307956</v>
          </cell>
          <cell r="N41">
            <v>281799.45856461144</v>
          </cell>
          <cell r="O41">
            <v>309768.18872334139</v>
          </cell>
          <cell r="P41">
            <v>352104.10653422866</v>
          </cell>
          <cell r="T41">
            <v>38</v>
          </cell>
          <cell r="U41" t="str">
            <v>Residential</v>
          </cell>
          <cell r="X41">
            <v>58513.487194468791</v>
          </cell>
          <cell r="Y41">
            <v>96379.394293504723</v>
          </cell>
          <cell r="Z41">
            <v>136748.75839906515</v>
          </cell>
          <cell r="AA41">
            <v>174602.68770084722</v>
          </cell>
          <cell r="AB41">
            <v>198712.92238776904</v>
          </cell>
          <cell r="AC41">
            <v>220006.13496932518</v>
          </cell>
          <cell r="AD41">
            <v>237422.72860064273</v>
          </cell>
          <cell r="AE41">
            <v>254489.23945856464</v>
          </cell>
          <cell r="AF41">
            <v>271667.25094945956</v>
          </cell>
          <cell r="AG41">
            <v>288593.14441523032</v>
          </cell>
          <cell r="AH41">
            <v>317928.52273833868</v>
          </cell>
          <cell r="AI41">
            <v>359398.38348427304</v>
          </cell>
        </row>
        <row r="42">
          <cell r="A42">
            <v>39</v>
          </cell>
          <cell r="B42" t="str">
            <v>Commercial</v>
          </cell>
          <cell r="E42">
            <v>426088.71360405104</v>
          </cell>
          <cell r="F42">
            <v>808284.93524199049</v>
          </cell>
          <cell r="G42">
            <v>1216052.2933099619</v>
          </cell>
          <cell r="H42">
            <v>1587624.6956860453</v>
          </cell>
          <cell r="I42">
            <v>1968949.946440744</v>
          </cell>
          <cell r="J42">
            <v>2329964.4717109748</v>
          </cell>
          <cell r="K42">
            <v>2687153.1950530726</v>
          </cell>
          <cell r="L42">
            <v>3036724.2769500441</v>
          </cell>
          <cell r="M42">
            <v>3348238.344532087</v>
          </cell>
          <cell r="N42">
            <v>3708860.3544648946</v>
          </cell>
          <cell r="O42">
            <v>4087689.8587983255</v>
          </cell>
          <cell r="P42">
            <v>4475776.0278508132</v>
          </cell>
          <cell r="T42">
            <v>39</v>
          </cell>
          <cell r="U42" t="str">
            <v>Commercial</v>
          </cell>
          <cell r="X42">
            <v>428117.92774369463</v>
          </cell>
          <cell r="Y42">
            <v>806444.3470639789</v>
          </cell>
          <cell r="Z42">
            <v>1203558.3795890543</v>
          </cell>
          <cell r="AA42">
            <v>1585952.2835719152</v>
          </cell>
          <cell r="AB42">
            <v>1946121.5308209171</v>
          </cell>
          <cell r="AC42">
            <v>2306358.4574934267</v>
          </cell>
          <cell r="AD42">
            <v>2668088.2267017234</v>
          </cell>
          <cell r="AE42">
            <v>3055380.0759567628</v>
          </cell>
          <cell r="AF42">
            <v>3434603.0772227086</v>
          </cell>
          <cell r="AG42">
            <v>3815238.3873794912</v>
          </cell>
          <cell r="AH42">
            <v>4205722.3682929203</v>
          </cell>
          <cell r="AI42">
            <v>4596092.6088226698</v>
          </cell>
        </row>
        <row r="43">
          <cell r="A43">
            <v>40</v>
          </cell>
          <cell r="B43" t="str">
            <v xml:space="preserve">Industrial </v>
          </cell>
          <cell r="E43">
            <v>2620432.7587885871</v>
          </cell>
          <cell r="F43">
            <v>4810710.8773979936</v>
          </cell>
          <cell r="G43">
            <v>7141737.2382899988</v>
          </cell>
          <cell r="H43">
            <v>9289788.7525562365</v>
          </cell>
          <cell r="I43">
            <v>11792840.558963871</v>
          </cell>
          <cell r="J43">
            <v>14022347.621969033</v>
          </cell>
          <cell r="K43">
            <v>16272481.909630928</v>
          </cell>
          <cell r="L43">
            <v>18685227.315220568</v>
          </cell>
          <cell r="M43">
            <v>20858040.212289415</v>
          </cell>
          <cell r="N43">
            <v>23016260.410945565</v>
          </cell>
          <cell r="O43">
            <v>25215382.267017238</v>
          </cell>
          <cell r="P43">
            <v>27768125.251728505</v>
          </cell>
          <cell r="T43">
            <v>40</v>
          </cell>
          <cell r="U43" t="str">
            <v xml:space="preserve">Industrial </v>
          </cell>
          <cell r="X43">
            <v>1103223.7803096699</v>
          </cell>
          <cell r="Y43">
            <v>1896986.0745934364</v>
          </cell>
          <cell r="Z43">
            <v>2985396.533255429</v>
          </cell>
          <cell r="AA43">
            <v>3920305.8720420683</v>
          </cell>
          <cell r="AB43">
            <v>4851897.2636089195</v>
          </cell>
          <cell r="AC43">
            <v>6589390.2035251725</v>
          </cell>
          <cell r="AD43">
            <v>8678653.7150647584</v>
          </cell>
          <cell r="AE43">
            <v>10814211.705131952</v>
          </cell>
          <cell r="AF43">
            <v>12932526.536176844</v>
          </cell>
          <cell r="AG43">
            <v>14924147.823546598</v>
          </cell>
          <cell r="AH43">
            <v>16992298.860648554</v>
          </cell>
          <cell r="AI43">
            <v>19338137.59859772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3094515.4348037783</v>
          </cell>
          <cell r="F45">
            <v>5711079.5598402955</v>
          </cell>
          <cell r="G45">
            <v>8487180.4167883918</v>
          </cell>
          <cell r="H45">
            <v>11042991.693446293</v>
          </cell>
          <cell r="I45">
            <v>13952958.876229428</v>
          </cell>
          <cell r="J45">
            <v>16562835.503943909</v>
          </cell>
          <cell r="K45">
            <v>19186331.073132731</v>
          </cell>
          <cell r="L45">
            <v>21966702.215405591</v>
          </cell>
          <cell r="M45">
            <v>24468223.845554583</v>
          </cell>
          <cell r="N45">
            <v>27006920.22397507</v>
          </cell>
          <cell r="O45">
            <v>29612840.314538904</v>
          </cell>
          <cell r="P45">
            <v>32596005.386113547</v>
          </cell>
          <cell r="T45">
            <v>42</v>
          </cell>
          <cell r="U45" t="str">
            <v>Total Volume</v>
          </cell>
          <cell r="X45">
            <v>1589855.1952478334</v>
          </cell>
          <cell r="Y45">
            <v>2799809.8159509199</v>
          </cell>
          <cell r="Z45">
            <v>4325703.6712435484</v>
          </cell>
          <cell r="AA45">
            <v>5680860.8433148302</v>
          </cell>
          <cell r="AB45">
            <v>6996731.7168176062</v>
          </cell>
          <cell r="AC45">
            <v>9115754.7959879246</v>
          </cell>
          <cell r="AD45">
            <v>11584164.670367125</v>
          </cell>
          <cell r="AE45">
            <v>14124081.020547278</v>
          </cell>
          <cell r="AF45">
            <v>16638796.864349011</v>
          </cell>
          <cell r="AG45">
            <v>19027979.355341319</v>
          </cell>
          <cell r="AH45">
            <v>21515949.751679812</v>
          </cell>
          <cell r="AI45">
            <v>24293628.590904664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- 2019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- 2018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49285</v>
          </cell>
          <cell r="F48">
            <v>94561</v>
          </cell>
          <cell r="G48">
            <v>132872</v>
          </cell>
          <cell r="H48">
            <v>170033</v>
          </cell>
          <cell r="I48">
            <v>196312</v>
          </cell>
          <cell r="J48">
            <v>216188</v>
          </cell>
          <cell r="K48">
            <v>232796</v>
          </cell>
          <cell r="L48">
            <v>251336</v>
          </cell>
          <cell r="M48">
            <v>268993</v>
          </cell>
          <cell r="N48">
            <v>289381</v>
          </cell>
          <cell r="O48">
            <v>318102</v>
          </cell>
          <cell r="P48">
            <v>361577</v>
          </cell>
          <cell r="T48">
            <v>45</v>
          </cell>
          <cell r="U48" t="str">
            <v>Residential</v>
          </cell>
          <cell r="X48">
            <v>60088</v>
          </cell>
          <cell r="Y48">
            <v>98973</v>
          </cell>
          <cell r="Z48">
            <v>140428</v>
          </cell>
          <cell r="AA48">
            <v>179300</v>
          </cell>
          <cell r="AB48">
            <v>204059</v>
          </cell>
          <cell r="AC48">
            <v>225925</v>
          </cell>
          <cell r="AD48">
            <v>243810</v>
          </cell>
          <cell r="AE48">
            <v>261336</v>
          </cell>
          <cell r="AF48">
            <v>278976</v>
          </cell>
          <cell r="AG48">
            <v>296357</v>
          </cell>
          <cell r="AH48">
            <v>326482</v>
          </cell>
          <cell r="AI48">
            <v>369067</v>
          </cell>
        </row>
        <row r="49">
          <cell r="A49">
            <v>46</v>
          </cell>
          <cell r="B49" t="str">
            <v>Commercial</v>
          </cell>
          <cell r="E49">
            <v>437551</v>
          </cell>
          <cell r="F49">
            <v>830028</v>
          </cell>
          <cell r="G49">
            <v>1248764</v>
          </cell>
          <cell r="H49">
            <v>1630332</v>
          </cell>
          <cell r="I49">
            <v>2021915</v>
          </cell>
          <cell r="J49">
            <v>2392641</v>
          </cell>
          <cell r="K49">
            <v>2759438</v>
          </cell>
          <cell r="L49">
            <v>3118413</v>
          </cell>
          <cell r="M49">
            <v>3438307</v>
          </cell>
          <cell r="N49">
            <v>3808630</v>
          </cell>
          <cell r="O49">
            <v>4197650</v>
          </cell>
          <cell r="P49">
            <v>4596176</v>
          </cell>
          <cell r="T49">
            <v>46</v>
          </cell>
          <cell r="U49" t="str">
            <v>Commercial</v>
          </cell>
          <cell r="X49">
            <v>439634</v>
          </cell>
          <cell r="Y49">
            <v>828137</v>
          </cell>
          <cell r="Z49">
            <v>1235933</v>
          </cell>
          <cell r="AA49">
            <v>1628613</v>
          </cell>
          <cell r="AB49">
            <v>1998471</v>
          </cell>
          <cell r="AC49">
            <v>2368398</v>
          </cell>
          <cell r="AD49">
            <v>2739858</v>
          </cell>
          <cell r="AE49">
            <v>3137568</v>
          </cell>
          <cell r="AF49">
            <v>3526992</v>
          </cell>
          <cell r="AG49">
            <v>3917866</v>
          </cell>
          <cell r="AH49">
            <v>4318854</v>
          </cell>
          <cell r="AI49">
            <v>4719725</v>
          </cell>
        </row>
        <row r="50">
          <cell r="A50">
            <v>47</v>
          </cell>
          <cell r="B50" t="str">
            <v xml:space="preserve">Industrial </v>
          </cell>
          <cell r="E50">
            <v>2690922</v>
          </cell>
          <cell r="F50">
            <v>4940119</v>
          </cell>
          <cell r="G50">
            <v>7333850</v>
          </cell>
          <cell r="H50">
            <v>9539684</v>
          </cell>
          <cell r="I50">
            <v>12110068</v>
          </cell>
          <cell r="J50">
            <v>14399549</v>
          </cell>
          <cell r="K50">
            <v>16710212</v>
          </cell>
          <cell r="L50">
            <v>19187860</v>
          </cell>
          <cell r="M50">
            <v>21419122</v>
          </cell>
          <cell r="N50">
            <v>23635398</v>
          </cell>
          <cell r="O50">
            <v>25893676</v>
          </cell>
          <cell r="P50">
            <v>28515088</v>
          </cell>
          <cell r="T50">
            <v>47</v>
          </cell>
          <cell r="U50" t="str">
            <v xml:space="preserve">Industrial </v>
          </cell>
          <cell r="X50">
            <v>1132901</v>
          </cell>
          <cell r="Y50">
            <v>1948016</v>
          </cell>
          <cell r="Z50">
            <v>3065705</v>
          </cell>
          <cell r="AA50">
            <v>4025763</v>
          </cell>
          <cell r="AB50">
            <v>4982414</v>
          </cell>
          <cell r="AC50">
            <v>6766646</v>
          </cell>
          <cell r="AD50">
            <v>8912111</v>
          </cell>
          <cell r="AE50">
            <v>11105116</v>
          </cell>
          <cell r="AF50">
            <v>13280414</v>
          </cell>
          <cell r="AG50">
            <v>15325610</v>
          </cell>
          <cell r="AH50">
            <v>17449394</v>
          </cell>
          <cell r="AI50">
            <v>19858336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3177758</v>
          </cell>
          <cell r="F52">
            <v>5864708</v>
          </cell>
          <cell r="G52">
            <v>8715486</v>
          </cell>
          <cell r="H52">
            <v>11340049</v>
          </cell>
          <cell r="I52">
            <v>14328295</v>
          </cell>
          <cell r="J52">
            <v>17008378</v>
          </cell>
          <cell r="K52">
            <v>19702446</v>
          </cell>
          <cell r="L52">
            <v>22557609</v>
          </cell>
          <cell r="M52">
            <v>25126422</v>
          </cell>
          <cell r="N52">
            <v>27733409</v>
          </cell>
          <cell r="O52">
            <v>30409428</v>
          </cell>
          <cell r="P52">
            <v>33472841</v>
          </cell>
          <cell r="T52">
            <v>49</v>
          </cell>
          <cell r="U52" t="str">
            <v>Total Volume</v>
          </cell>
          <cell r="W52">
            <v>0</v>
          </cell>
          <cell r="X52">
            <v>1632623</v>
          </cell>
          <cell r="Y52">
            <v>2875126</v>
          </cell>
          <cell r="Z52">
            <v>4442066</v>
          </cell>
          <cell r="AA52">
            <v>5833676</v>
          </cell>
          <cell r="AB52">
            <v>7184944</v>
          </cell>
          <cell r="AC52">
            <v>9360969</v>
          </cell>
          <cell r="AD52">
            <v>11895779</v>
          </cell>
          <cell r="AE52">
            <v>14504020</v>
          </cell>
          <cell r="AF52">
            <v>17086382</v>
          </cell>
          <cell r="AG52">
            <v>19539833</v>
          </cell>
          <cell r="AH52">
            <v>22094730</v>
          </cell>
          <cell r="AI52">
            <v>24947128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17860</v>
          </cell>
          <cell r="F55">
            <v>17897</v>
          </cell>
          <cell r="G55">
            <v>17939</v>
          </cell>
          <cell r="H55">
            <v>17981</v>
          </cell>
          <cell r="I55">
            <v>17995</v>
          </cell>
          <cell r="J55">
            <v>17999</v>
          </cell>
          <cell r="K55">
            <v>18001</v>
          </cell>
          <cell r="L55">
            <v>18008</v>
          </cell>
          <cell r="M55">
            <v>18020</v>
          </cell>
          <cell r="N55">
            <v>18033</v>
          </cell>
          <cell r="O55">
            <v>18057</v>
          </cell>
          <cell r="P55">
            <v>18082</v>
          </cell>
        </row>
        <row r="56">
          <cell r="A56">
            <v>53</v>
          </cell>
          <cell r="B56" t="str">
            <v>Cumulative Budget YTD Volume (Mcfs)</v>
          </cell>
          <cell r="E56">
            <v>3473656.5061944607</v>
          </cell>
          <cell r="F56">
            <v>6715008.319588705</v>
          </cell>
          <cell r="G56">
            <v>10173164.113904335</v>
          </cell>
          <cell r="H56">
            <v>13534374.59617788</v>
          </cell>
          <cell r="I56">
            <v>16929083.699604489</v>
          </cell>
          <cell r="J56">
            <v>20238846.465022281</v>
          </cell>
          <cell r="K56">
            <v>22755061.260372158</v>
          </cell>
          <cell r="L56">
            <v>26124097.878678352</v>
          </cell>
          <cell r="M56">
            <v>29394020.3585767</v>
          </cell>
          <cell r="N56">
            <v>32797260.000276297</v>
          </cell>
          <cell r="O56">
            <v>36140775.465930417</v>
          </cell>
          <cell r="P56">
            <v>39578232.787606604</v>
          </cell>
        </row>
        <row r="57">
          <cell r="A57">
            <v>54</v>
          </cell>
          <cell r="B57" t="str">
            <v>Cumulative YTD Budget Volume (Dts) * 1.0269</v>
          </cell>
          <cell r="E57">
            <v>3567098</v>
          </cell>
          <cell r="F57">
            <v>6895642</v>
          </cell>
          <cell r="G57">
            <v>10446822</v>
          </cell>
          <cell r="H57">
            <v>13898449</v>
          </cell>
          <cell r="I57">
            <v>17384476</v>
          </cell>
          <cell r="J57">
            <v>20783271</v>
          </cell>
          <cell r="K57">
            <v>23367172</v>
          </cell>
          <cell r="L57">
            <v>26826836</v>
          </cell>
          <cell r="M57">
            <v>30184719</v>
          </cell>
          <cell r="N57">
            <v>33679506</v>
          </cell>
          <cell r="O57">
            <v>37112962</v>
          </cell>
          <cell r="P57">
            <v>40642887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57653</v>
          </cell>
          <cell r="D5">
            <v>691835</v>
          </cell>
          <cell r="E5">
            <v>56743</v>
          </cell>
          <cell r="F5">
            <v>56797</v>
          </cell>
          <cell r="G5">
            <v>56947</v>
          </cell>
          <cell r="H5">
            <v>57433</v>
          </cell>
          <cell r="I5">
            <v>57424</v>
          </cell>
          <cell r="J5">
            <v>57654</v>
          </cell>
          <cell r="K5">
            <v>58301</v>
          </cell>
          <cell r="L5">
            <v>57785</v>
          </cell>
          <cell r="M5">
            <v>57910</v>
          </cell>
          <cell r="N5">
            <v>58017</v>
          </cell>
          <cell r="O5">
            <v>58253</v>
          </cell>
          <cell r="P5">
            <v>58571</v>
          </cell>
          <cell r="T5">
            <v>2</v>
          </cell>
          <cell r="U5" t="str">
            <v>Residential</v>
          </cell>
          <cell r="X5">
            <v>55186</v>
          </cell>
          <cell r="Y5">
            <v>55193</v>
          </cell>
          <cell r="Z5">
            <v>55462</v>
          </cell>
          <cell r="AA5">
            <v>55529</v>
          </cell>
          <cell r="AB5">
            <v>55524</v>
          </cell>
          <cell r="AC5">
            <v>55687</v>
          </cell>
          <cell r="AD5">
            <v>55633</v>
          </cell>
          <cell r="AE5">
            <v>55787</v>
          </cell>
          <cell r="AF5">
            <v>55868</v>
          </cell>
          <cell r="AG5">
            <v>55903</v>
          </cell>
          <cell r="AH5">
            <v>56227</v>
          </cell>
          <cell r="AI5">
            <v>56414</v>
          </cell>
        </row>
        <row r="6">
          <cell r="A6">
            <v>3</v>
          </cell>
          <cell r="B6" t="str">
            <v>Commercial</v>
          </cell>
          <cell r="C6">
            <v>3932</v>
          </cell>
          <cell r="D6">
            <v>47181</v>
          </cell>
          <cell r="E6">
            <v>3892</v>
          </cell>
          <cell r="F6">
            <v>3901</v>
          </cell>
          <cell r="G6">
            <v>3897</v>
          </cell>
          <cell r="H6">
            <v>3942</v>
          </cell>
          <cell r="I6">
            <v>3934</v>
          </cell>
          <cell r="J6">
            <v>3935</v>
          </cell>
          <cell r="K6">
            <v>3921</v>
          </cell>
          <cell r="L6">
            <v>3940</v>
          </cell>
          <cell r="M6">
            <v>3941</v>
          </cell>
          <cell r="N6">
            <v>3957</v>
          </cell>
          <cell r="O6">
            <v>3960</v>
          </cell>
          <cell r="P6">
            <v>3961</v>
          </cell>
          <cell r="T6">
            <v>3</v>
          </cell>
          <cell r="U6" t="str">
            <v>Commercial</v>
          </cell>
          <cell r="X6">
            <v>3934</v>
          </cell>
          <cell r="Y6">
            <v>3919</v>
          </cell>
          <cell r="Z6">
            <v>3929</v>
          </cell>
          <cell r="AA6">
            <v>3942</v>
          </cell>
          <cell r="AB6">
            <v>3933</v>
          </cell>
          <cell r="AC6">
            <v>3909</v>
          </cell>
          <cell r="AD6">
            <v>3902</v>
          </cell>
          <cell r="AE6">
            <v>3915</v>
          </cell>
          <cell r="AF6">
            <v>3920</v>
          </cell>
          <cell r="AG6">
            <v>3885</v>
          </cell>
          <cell r="AH6">
            <v>3906</v>
          </cell>
          <cell r="AI6">
            <v>3889</v>
          </cell>
        </row>
        <row r="7">
          <cell r="A7">
            <v>4</v>
          </cell>
          <cell r="B7" t="str">
            <v xml:space="preserve">Industrial </v>
          </cell>
          <cell r="C7">
            <v>2436</v>
          </cell>
          <cell r="D7">
            <v>29234</v>
          </cell>
          <cell r="E7">
            <v>2409</v>
          </cell>
          <cell r="F7">
            <v>2415</v>
          </cell>
          <cell r="G7">
            <v>2421</v>
          </cell>
          <cell r="H7">
            <v>2433</v>
          </cell>
          <cell r="I7">
            <v>2431</v>
          </cell>
          <cell r="J7">
            <v>2440</v>
          </cell>
          <cell r="K7">
            <v>2441</v>
          </cell>
          <cell r="L7">
            <v>2436</v>
          </cell>
          <cell r="M7">
            <v>2443</v>
          </cell>
          <cell r="N7">
            <v>2445</v>
          </cell>
          <cell r="O7">
            <v>2455</v>
          </cell>
          <cell r="P7">
            <v>2465</v>
          </cell>
          <cell r="T7">
            <v>4</v>
          </cell>
          <cell r="U7" t="str">
            <v>Industrial firm</v>
          </cell>
          <cell r="X7">
            <v>2233</v>
          </cell>
          <cell r="Y7">
            <v>2250</v>
          </cell>
          <cell r="Z7">
            <v>2270</v>
          </cell>
          <cell r="AA7">
            <v>2277</v>
          </cell>
          <cell r="AB7">
            <v>2278</v>
          </cell>
          <cell r="AC7">
            <v>2305</v>
          </cell>
          <cell r="AD7">
            <v>2314</v>
          </cell>
          <cell r="AE7">
            <v>2312</v>
          </cell>
          <cell r="AF7">
            <v>2360</v>
          </cell>
          <cell r="AG7">
            <v>2357</v>
          </cell>
          <cell r="AH7">
            <v>2379</v>
          </cell>
          <cell r="AI7">
            <v>2403</v>
          </cell>
        </row>
        <row r="8">
          <cell r="A8">
            <v>5</v>
          </cell>
          <cell r="B8" t="str">
            <v>Other</v>
          </cell>
          <cell r="C8">
            <v>12</v>
          </cell>
          <cell r="D8">
            <v>144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12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T8">
            <v>5</v>
          </cell>
          <cell r="U8" t="str">
            <v>Other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12</v>
          </cell>
          <cell r="AC8">
            <v>12</v>
          </cell>
          <cell r="AD8">
            <v>12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  <cell r="AI8">
            <v>12</v>
          </cell>
        </row>
        <row r="9">
          <cell r="A9">
            <v>6</v>
          </cell>
          <cell r="B9" t="str">
            <v>Total customers</v>
          </cell>
          <cell r="C9">
            <v>64033</v>
          </cell>
          <cell r="D9">
            <v>768394</v>
          </cell>
          <cell r="E9">
            <v>63056</v>
          </cell>
          <cell r="F9">
            <v>63125</v>
          </cell>
          <cell r="G9">
            <v>63277</v>
          </cell>
          <cell r="H9">
            <v>63820</v>
          </cell>
          <cell r="I9">
            <v>63801</v>
          </cell>
          <cell r="J9">
            <v>64041</v>
          </cell>
          <cell r="K9">
            <v>64675</v>
          </cell>
          <cell r="L9">
            <v>64173</v>
          </cell>
          <cell r="M9">
            <v>64306</v>
          </cell>
          <cell r="N9">
            <v>64431</v>
          </cell>
          <cell r="O9">
            <v>64680</v>
          </cell>
          <cell r="P9">
            <v>65009</v>
          </cell>
          <cell r="T9">
            <v>6</v>
          </cell>
          <cell r="U9" t="str">
            <v>Total customers</v>
          </cell>
          <cell r="X9">
            <v>61363</v>
          </cell>
          <cell r="Y9">
            <v>61372</v>
          </cell>
          <cell r="Z9">
            <v>61671</v>
          </cell>
          <cell r="AA9">
            <v>61758</v>
          </cell>
          <cell r="AB9">
            <v>61747</v>
          </cell>
          <cell r="AC9">
            <v>61913</v>
          </cell>
          <cell r="AD9">
            <v>61861</v>
          </cell>
          <cell r="AE9">
            <v>62026</v>
          </cell>
          <cell r="AF9">
            <v>62160</v>
          </cell>
          <cell r="AG9">
            <v>62157</v>
          </cell>
          <cell r="AH9">
            <v>62524</v>
          </cell>
          <cell r="AI9">
            <v>62718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- 2019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- 2018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13923836.732000332</v>
          </cell>
          <cell r="D12">
            <v>1355909.7022105688</v>
          </cell>
          <cell r="E12">
            <v>192071.13448242616</v>
          </cell>
          <cell r="F12">
            <v>166570.24832018753</v>
          </cell>
          <cell r="G12">
            <v>133447.13214529294</v>
          </cell>
          <cell r="H12">
            <v>126655.13019768459</v>
          </cell>
          <cell r="I12">
            <v>101306.12133606451</v>
          </cell>
          <cell r="J12">
            <v>80759.713701434695</v>
          </cell>
          <cell r="K12">
            <v>66526.488460416746</v>
          </cell>
          <cell r="L12">
            <v>68282.268964847652</v>
          </cell>
          <cell r="M12">
            <v>74093.291459736181</v>
          </cell>
          <cell r="N12">
            <v>77592.879540367125</v>
          </cell>
          <cell r="O12">
            <v>103955.04528191978</v>
          </cell>
          <cell r="P12">
            <v>164650.24832019059</v>
          </cell>
          <cell r="T12">
            <v>9</v>
          </cell>
          <cell r="U12" t="str">
            <v>Residential</v>
          </cell>
          <cell r="W12">
            <v>1357274.1786804965</v>
          </cell>
          <cell r="X12">
            <v>216758.88596747493</v>
          </cell>
          <cell r="Y12">
            <v>152946.73288538319</v>
          </cell>
          <cell r="Z12">
            <v>139654.2993475509</v>
          </cell>
          <cell r="AA12">
            <v>136000.19476093096</v>
          </cell>
          <cell r="AB12">
            <v>98294.770669003788</v>
          </cell>
          <cell r="AC12">
            <v>86363.22913623527</v>
          </cell>
          <cell r="AD12">
            <v>69725.679228746711</v>
          </cell>
          <cell r="AE12">
            <v>66381.341902814296</v>
          </cell>
          <cell r="AF12">
            <v>72494.400623234964</v>
          </cell>
          <cell r="AG12">
            <v>66786.860538513967</v>
          </cell>
          <cell r="AH12">
            <v>99214.169831533785</v>
          </cell>
          <cell r="AI12">
            <v>152653.61378907392</v>
          </cell>
        </row>
        <row r="13">
          <cell r="A13">
            <v>10</v>
          </cell>
          <cell r="B13" t="str">
            <v>Commercial</v>
          </cell>
          <cell r="C13">
            <v>17145751.526080001</v>
          </cell>
          <cell r="D13">
            <v>1669661.2645905153</v>
          </cell>
          <cell r="E13">
            <v>178139.71633070408</v>
          </cell>
          <cell r="F13">
            <v>167460.37559645518</v>
          </cell>
          <cell r="G13">
            <v>145242.34462946738</v>
          </cell>
          <cell r="H13">
            <v>152139.40452624412</v>
          </cell>
          <cell r="I13">
            <v>134401.06534229236</v>
          </cell>
          <cell r="J13">
            <v>128841.43344045184</v>
          </cell>
          <cell r="K13">
            <v>105840.34959587113</v>
          </cell>
          <cell r="L13">
            <v>118874.66452429639</v>
          </cell>
          <cell r="M13">
            <v>110982.10633946826</v>
          </cell>
          <cell r="N13">
            <v>118646.66179764333</v>
          </cell>
          <cell r="O13">
            <v>141232.77631707085</v>
          </cell>
          <cell r="P13">
            <v>167860.36615055028</v>
          </cell>
          <cell r="T13">
            <v>10</v>
          </cell>
          <cell r="U13" t="str">
            <v>Commercial</v>
          </cell>
          <cell r="W13">
            <v>1676967.2903437531</v>
          </cell>
          <cell r="X13">
            <v>190995.81263998442</v>
          </cell>
          <cell r="Y13">
            <v>173620.11880416787</v>
          </cell>
          <cell r="Z13">
            <v>156898.04265264384</v>
          </cell>
          <cell r="AA13">
            <v>157502.97010419707</v>
          </cell>
          <cell r="AB13">
            <v>134778.55682150158</v>
          </cell>
          <cell r="AC13">
            <v>128588.95705521473</v>
          </cell>
          <cell r="AD13">
            <v>107962.31375985977</v>
          </cell>
          <cell r="AE13">
            <v>109722.07615152402</v>
          </cell>
          <cell r="AF13">
            <v>110575.32379004773</v>
          </cell>
          <cell r="AG13">
            <v>103195.66107118512</v>
          </cell>
          <cell r="AH13">
            <v>137727.76024929405</v>
          </cell>
          <cell r="AI13">
            <v>165399.69724413284</v>
          </cell>
        </row>
        <row r="14">
          <cell r="A14">
            <v>11</v>
          </cell>
          <cell r="B14" t="str">
            <v xml:space="preserve">Industrial </v>
          </cell>
          <cell r="C14">
            <v>49687458.389999993</v>
          </cell>
          <cell r="D14">
            <v>4838587.8264680095</v>
          </cell>
          <cell r="E14">
            <v>472789.75557503139</v>
          </cell>
          <cell r="F14">
            <v>423675.35884701525</v>
          </cell>
          <cell r="G14">
            <v>415480.99522835726</v>
          </cell>
          <cell r="H14">
            <v>415197.91118901531</v>
          </cell>
          <cell r="I14">
            <v>401987.53724802763</v>
          </cell>
          <cell r="J14">
            <v>377452.39166423201</v>
          </cell>
          <cell r="K14">
            <v>359300.43529068062</v>
          </cell>
          <cell r="L14">
            <v>368868.90933878673</v>
          </cell>
          <cell r="M14">
            <v>356998.61135456234</v>
          </cell>
          <cell r="N14">
            <v>382569.9405979162</v>
          </cell>
          <cell r="O14">
            <v>414027.16135943128</v>
          </cell>
          <cell r="P14">
            <v>450238.81877495337</v>
          </cell>
          <cell r="T14">
            <v>11</v>
          </cell>
          <cell r="U14" t="str">
            <v>Industrial firm</v>
          </cell>
          <cell r="W14">
            <v>4772613.4965040414</v>
          </cell>
          <cell r="X14">
            <v>448369.94838835328</v>
          </cell>
          <cell r="Y14">
            <v>408576.20021423697</v>
          </cell>
          <cell r="Z14">
            <v>413411.04294478527</v>
          </cell>
          <cell r="AA14">
            <v>421346.09017431102</v>
          </cell>
          <cell r="AB14">
            <v>400164.47560619342</v>
          </cell>
          <cell r="AC14">
            <v>391801.2464699581</v>
          </cell>
          <cell r="AD14">
            <v>367170.61057551851</v>
          </cell>
          <cell r="AE14">
            <v>368403.44726847793</v>
          </cell>
          <cell r="AF14">
            <v>365115.39585159218</v>
          </cell>
          <cell r="AG14">
            <v>366462.4</v>
          </cell>
          <cell r="AH14">
            <v>397902.63901061448</v>
          </cell>
          <cell r="AI14">
            <v>423890</v>
          </cell>
        </row>
        <row r="15">
          <cell r="A15">
            <v>12</v>
          </cell>
          <cell r="B15" t="str">
            <v>Other</v>
          </cell>
          <cell r="C15">
            <v>25749247.859999999</v>
          </cell>
          <cell r="D15">
            <v>2507473.7423312883</v>
          </cell>
          <cell r="E15">
            <v>220015.97078586035</v>
          </cell>
          <cell r="F15">
            <v>100866.47521667153</v>
          </cell>
          <cell r="G15">
            <v>219959.99532573766</v>
          </cell>
          <cell r="H15">
            <v>196594.48923945855</v>
          </cell>
          <cell r="I15">
            <v>204674.91089687409</v>
          </cell>
          <cell r="J15">
            <v>216191.90865712339</v>
          </cell>
          <cell r="K15">
            <v>191827.10127568411</v>
          </cell>
          <cell r="L15">
            <v>194154.7966695881</v>
          </cell>
          <cell r="M15">
            <v>182006.0778069919</v>
          </cell>
          <cell r="N15">
            <v>250776.30411919369</v>
          </cell>
          <cell r="O15">
            <v>246778.57590807282</v>
          </cell>
          <cell r="P15">
            <v>283627.13643003214</v>
          </cell>
          <cell r="T15">
            <v>12</v>
          </cell>
          <cell r="U15" t="str">
            <v>Other</v>
          </cell>
          <cell r="W15">
            <v>2277547.9507108778</v>
          </cell>
          <cell r="X15">
            <v>194736.14383094752</v>
          </cell>
          <cell r="Y15">
            <v>101655.32671146168</v>
          </cell>
          <cell r="Z15">
            <v>210479.89093387866</v>
          </cell>
          <cell r="AA15">
            <v>165609.0174311033</v>
          </cell>
          <cell r="AB15">
            <v>165121.14129905539</v>
          </cell>
          <cell r="AC15">
            <v>121251.44882656538</v>
          </cell>
          <cell r="AD15">
            <v>128508.77797253871</v>
          </cell>
          <cell r="AE15">
            <v>154373.17908267601</v>
          </cell>
          <cell r="AF15">
            <v>140698.95121238678</v>
          </cell>
          <cell r="AG15">
            <v>212772.25716720225</v>
          </cell>
          <cell r="AH15">
            <v>203879.03593339177</v>
          </cell>
          <cell r="AI15">
            <v>478462.78030966991</v>
          </cell>
        </row>
        <row r="16">
          <cell r="A16">
            <v>13</v>
          </cell>
          <cell r="B16" t="str">
            <v>Total Deliveries</v>
          </cell>
          <cell r="D16">
            <v>10371632.535600383</v>
          </cell>
          <cell r="E16">
            <v>1063016.5771740221</v>
          </cell>
          <cell r="F16">
            <v>858572.45798032964</v>
          </cell>
          <cell r="G16">
            <v>914130.46732885519</v>
          </cell>
          <cell r="H16">
            <v>890586.93515240261</v>
          </cell>
          <cell r="I16">
            <v>842369.6348232585</v>
          </cell>
          <cell r="J16">
            <v>803245.44746324187</v>
          </cell>
          <cell r="K16">
            <v>723494.37462265254</v>
          </cell>
          <cell r="L16">
            <v>750180.63949751889</v>
          </cell>
          <cell r="M16">
            <v>724080.08696075866</v>
          </cell>
          <cell r="N16">
            <v>829585.78605512041</v>
          </cell>
          <cell r="O16">
            <v>905993.5588664948</v>
          </cell>
          <cell r="P16">
            <v>1066376.5696757264</v>
          </cell>
          <cell r="T16">
            <v>13</v>
          </cell>
          <cell r="U16" t="str">
            <v>Total Deliveries</v>
          </cell>
          <cell r="W16">
            <v>10084402.916239168</v>
          </cell>
          <cell r="X16">
            <v>1050860.7908267602</v>
          </cell>
          <cell r="Y16">
            <v>836798.37861524965</v>
          </cell>
          <cell r="Z16">
            <v>920443.27587885875</v>
          </cell>
          <cell r="AA16">
            <v>880458.27247054235</v>
          </cell>
          <cell r="AB16">
            <v>798358.94439575425</v>
          </cell>
          <cell r="AC16">
            <v>728004.8814879735</v>
          </cell>
          <cell r="AD16">
            <v>673367.38153666374</v>
          </cell>
          <cell r="AE16">
            <v>698880.04440549226</v>
          </cell>
          <cell r="AF16">
            <v>688884.0714772616</v>
          </cell>
          <cell r="AG16">
            <v>749217.17877690145</v>
          </cell>
          <cell r="AH16">
            <v>838723.60502483405</v>
          </cell>
          <cell r="AI16">
            <v>1220406.0913428767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56424</v>
          </cell>
          <cell r="D21">
            <v>677083</v>
          </cell>
          <cell r="E21">
            <v>55510</v>
          </cell>
          <cell r="F21">
            <v>55562</v>
          </cell>
          <cell r="G21">
            <v>55710</v>
          </cell>
          <cell r="H21">
            <v>56193</v>
          </cell>
          <cell r="I21">
            <v>56194</v>
          </cell>
          <cell r="J21">
            <v>56425</v>
          </cell>
          <cell r="K21">
            <v>57078</v>
          </cell>
          <cell r="L21">
            <v>56562</v>
          </cell>
          <cell r="M21">
            <v>56690</v>
          </cell>
          <cell r="N21">
            <v>56787</v>
          </cell>
          <cell r="O21">
            <v>57028</v>
          </cell>
          <cell r="P21">
            <v>57344</v>
          </cell>
          <cell r="T21">
            <v>18</v>
          </cell>
          <cell r="U21" t="str">
            <v>Residential</v>
          </cell>
          <cell r="X21">
            <v>53933</v>
          </cell>
          <cell r="Y21">
            <v>53941</v>
          </cell>
          <cell r="Z21">
            <v>54205</v>
          </cell>
          <cell r="AA21">
            <v>54282</v>
          </cell>
          <cell r="AB21">
            <v>54288</v>
          </cell>
          <cell r="AC21">
            <v>54459</v>
          </cell>
          <cell r="AD21">
            <v>54403</v>
          </cell>
          <cell r="AE21">
            <v>54557</v>
          </cell>
          <cell r="AF21">
            <v>54637</v>
          </cell>
          <cell r="AG21">
            <v>54677</v>
          </cell>
          <cell r="AH21">
            <v>54995</v>
          </cell>
          <cell r="AI21">
            <v>55186</v>
          </cell>
        </row>
        <row r="22">
          <cell r="A22">
            <v>19</v>
          </cell>
          <cell r="B22" t="str">
            <v>Commercial Small</v>
          </cell>
          <cell r="C22">
            <v>3218</v>
          </cell>
          <cell r="D22">
            <v>38619</v>
          </cell>
          <cell r="E22">
            <v>3176</v>
          </cell>
          <cell r="F22">
            <v>3185</v>
          </cell>
          <cell r="G22">
            <v>3181</v>
          </cell>
          <cell r="H22">
            <v>3213</v>
          </cell>
          <cell r="I22">
            <v>3215</v>
          </cell>
          <cell r="J22">
            <v>3217</v>
          </cell>
          <cell r="K22">
            <v>3212</v>
          </cell>
          <cell r="L22">
            <v>3222</v>
          </cell>
          <cell r="M22">
            <v>3231</v>
          </cell>
          <cell r="N22">
            <v>3251</v>
          </cell>
          <cell r="O22">
            <v>3258</v>
          </cell>
          <cell r="P22">
            <v>3258</v>
          </cell>
          <cell r="T22">
            <v>19</v>
          </cell>
          <cell r="U22" t="str">
            <v>Commercial Small</v>
          </cell>
          <cell r="X22">
            <v>3181</v>
          </cell>
          <cell r="Y22">
            <v>3167</v>
          </cell>
          <cell r="Z22">
            <v>3179</v>
          </cell>
          <cell r="AA22">
            <v>3189</v>
          </cell>
          <cell r="AB22">
            <v>3186</v>
          </cell>
          <cell r="AC22">
            <v>3167</v>
          </cell>
          <cell r="AD22">
            <v>3176</v>
          </cell>
          <cell r="AE22">
            <v>3176</v>
          </cell>
          <cell r="AF22">
            <v>3182</v>
          </cell>
          <cell r="AG22">
            <v>3144</v>
          </cell>
          <cell r="AH22">
            <v>3153</v>
          </cell>
          <cell r="AI22">
            <v>3153</v>
          </cell>
        </row>
        <row r="23">
          <cell r="A23">
            <v>20</v>
          </cell>
          <cell r="B23" t="str">
            <v>Commercial Large</v>
          </cell>
          <cell r="C23">
            <v>656</v>
          </cell>
          <cell r="D23">
            <v>7873</v>
          </cell>
          <cell r="E23">
            <v>666</v>
          </cell>
          <cell r="F23">
            <v>666</v>
          </cell>
          <cell r="G23">
            <v>652</v>
          </cell>
          <cell r="H23">
            <v>663</v>
          </cell>
          <cell r="I23">
            <v>659</v>
          </cell>
          <cell r="J23">
            <v>658</v>
          </cell>
          <cell r="K23">
            <v>650</v>
          </cell>
          <cell r="L23">
            <v>658</v>
          </cell>
          <cell r="M23">
            <v>655</v>
          </cell>
          <cell r="N23">
            <v>651</v>
          </cell>
          <cell r="O23">
            <v>647</v>
          </cell>
          <cell r="P23">
            <v>648</v>
          </cell>
          <cell r="T23">
            <v>20</v>
          </cell>
          <cell r="U23" t="str">
            <v>Commercial Large</v>
          </cell>
          <cell r="X23">
            <v>676</v>
          </cell>
          <cell r="Y23">
            <v>677</v>
          </cell>
          <cell r="Z23">
            <v>675</v>
          </cell>
          <cell r="AA23">
            <v>676</v>
          </cell>
          <cell r="AB23">
            <v>673</v>
          </cell>
          <cell r="AC23">
            <v>668</v>
          </cell>
          <cell r="AD23">
            <v>652</v>
          </cell>
          <cell r="AE23">
            <v>665</v>
          </cell>
          <cell r="AF23">
            <v>665</v>
          </cell>
          <cell r="AG23">
            <v>669</v>
          </cell>
          <cell r="AH23">
            <v>685</v>
          </cell>
          <cell r="AI23">
            <v>672</v>
          </cell>
        </row>
        <row r="24">
          <cell r="A24">
            <v>21</v>
          </cell>
          <cell r="B24" t="str">
            <v>Outdoor Lights</v>
          </cell>
          <cell r="C24">
            <v>34</v>
          </cell>
          <cell r="D24">
            <v>405</v>
          </cell>
          <cell r="E24">
            <v>26</v>
          </cell>
          <cell r="F24">
            <v>26</v>
          </cell>
          <cell r="G24">
            <v>40</v>
          </cell>
          <cell r="H24">
            <v>42</v>
          </cell>
          <cell r="I24">
            <v>36</v>
          </cell>
          <cell r="J24">
            <v>36</v>
          </cell>
          <cell r="K24">
            <v>35</v>
          </cell>
          <cell r="L24">
            <v>36</v>
          </cell>
          <cell r="M24">
            <v>32</v>
          </cell>
          <cell r="N24">
            <v>32</v>
          </cell>
          <cell r="O24">
            <v>32</v>
          </cell>
          <cell r="P24">
            <v>32</v>
          </cell>
          <cell r="T24">
            <v>21</v>
          </cell>
          <cell r="U24" t="str">
            <v>Outdoor Lights</v>
          </cell>
          <cell r="X24">
            <v>53</v>
          </cell>
          <cell r="Y24">
            <v>51</v>
          </cell>
          <cell r="Z24">
            <v>51</v>
          </cell>
          <cell r="AA24">
            <v>52</v>
          </cell>
          <cell r="AB24">
            <v>50</v>
          </cell>
          <cell r="AC24">
            <v>50</v>
          </cell>
          <cell r="AD24">
            <v>50</v>
          </cell>
          <cell r="AE24">
            <v>50</v>
          </cell>
          <cell r="AF24">
            <v>49</v>
          </cell>
          <cell r="AG24">
            <v>48</v>
          </cell>
          <cell r="AH24">
            <v>44</v>
          </cell>
          <cell r="AI24">
            <v>40</v>
          </cell>
        </row>
        <row r="25">
          <cell r="A25">
            <v>22</v>
          </cell>
          <cell r="B25" t="str">
            <v>Interdepartmental/Special Contracts</v>
          </cell>
          <cell r="C25">
            <v>5</v>
          </cell>
          <cell r="D25">
            <v>60</v>
          </cell>
          <cell r="E25">
            <v>5</v>
          </cell>
          <cell r="F25">
            <v>5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T25">
            <v>22</v>
          </cell>
          <cell r="U25" t="str">
            <v>Interdepartmental/Special Contracts</v>
          </cell>
          <cell r="X25">
            <v>3</v>
          </cell>
          <cell r="Y25">
            <v>3</v>
          </cell>
          <cell r="Z25">
            <v>3</v>
          </cell>
          <cell r="AA25">
            <v>3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  <cell r="AF25">
            <v>5</v>
          </cell>
          <cell r="AG25">
            <v>5</v>
          </cell>
          <cell r="AH25">
            <v>5</v>
          </cell>
          <cell r="AI25">
            <v>5</v>
          </cell>
        </row>
        <row r="26">
          <cell r="A26">
            <v>23</v>
          </cell>
          <cell r="B26" t="str">
            <v>Commercial Small Transp</v>
          </cell>
          <cell r="C26">
            <v>1152</v>
          </cell>
          <cell r="D26">
            <v>13825</v>
          </cell>
          <cell r="E26">
            <v>1144</v>
          </cell>
          <cell r="F26">
            <v>1145</v>
          </cell>
          <cell r="G26">
            <v>1145</v>
          </cell>
          <cell r="H26">
            <v>1150</v>
          </cell>
          <cell r="I26">
            <v>1144</v>
          </cell>
          <cell r="J26">
            <v>1144</v>
          </cell>
          <cell r="K26">
            <v>1157</v>
          </cell>
          <cell r="L26">
            <v>1157</v>
          </cell>
          <cell r="M26">
            <v>1157</v>
          </cell>
          <cell r="N26">
            <v>1157</v>
          </cell>
          <cell r="O26">
            <v>1158</v>
          </cell>
          <cell r="P26">
            <v>1167</v>
          </cell>
          <cell r="T26">
            <v>23</v>
          </cell>
          <cell r="U26" t="str">
            <v>Commercial Small Transp</v>
          </cell>
          <cell r="X26">
            <v>1000</v>
          </cell>
          <cell r="Y26">
            <v>1015</v>
          </cell>
          <cell r="Z26">
            <v>1025</v>
          </cell>
          <cell r="AA26">
            <v>1028</v>
          </cell>
          <cell r="AB26">
            <v>1035</v>
          </cell>
          <cell r="AC26">
            <v>1053</v>
          </cell>
          <cell r="AD26">
            <v>1056</v>
          </cell>
          <cell r="AE26">
            <v>1056</v>
          </cell>
          <cell r="AF26">
            <v>1109</v>
          </cell>
          <cell r="AG26">
            <v>1114</v>
          </cell>
          <cell r="AH26">
            <v>1134</v>
          </cell>
          <cell r="AI26">
            <v>1145</v>
          </cell>
        </row>
        <row r="27">
          <cell r="A27">
            <v>24</v>
          </cell>
          <cell r="B27" t="str">
            <v>Commercial Large Transp</v>
          </cell>
          <cell r="C27">
            <v>1244</v>
          </cell>
          <cell r="D27">
            <v>14923</v>
          </cell>
          <cell r="E27">
            <v>1225</v>
          </cell>
          <cell r="F27">
            <v>1231</v>
          </cell>
          <cell r="G27">
            <v>1237</v>
          </cell>
          <cell r="H27">
            <v>1244</v>
          </cell>
          <cell r="I27">
            <v>1247</v>
          </cell>
          <cell r="J27">
            <v>1255</v>
          </cell>
          <cell r="K27">
            <v>1243</v>
          </cell>
          <cell r="L27">
            <v>1238</v>
          </cell>
          <cell r="M27">
            <v>1245</v>
          </cell>
          <cell r="N27">
            <v>1247</v>
          </cell>
          <cell r="O27">
            <v>1255</v>
          </cell>
          <cell r="P27">
            <v>1256</v>
          </cell>
          <cell r="T27">
            <v>24</v>
          </cell>
          <cell r="U27" t="str">
            <v>Commercial Large Transp</v>
          </cell>
          <cell r="X27">
            <v>1195</v>
          </cell>
          <cell r="Y27">
            <v>1198</v>
          </cell>
          <cell r="Z27">
            <v>1205</v>
          </cell>
          <cell r="AA27">
            <v>1209</v>
          </cell>
          <cell r="AB27">
            <v>1203</v>
          </cell>
          <cell r="AC27">
            <v>1213</v>
          </cell>
          <cell r="AD27">
            <v>1219</v>
          </cell>
          <cell r="AE27">
            <v>1217</v>
          </cell>
          <cell r="AF27">
            <v>1211</v>
          </cell>
          <cell r="AG27">
            <v>1203</v>
          </cell>
          <cell r="AH27">
            <v>1205</v>
          </cell>
          <cell r="AI27">
            <v>1219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216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18</v>
          </cell>
          <cell r="J28">
            <v>18</v>
          </cell>
          <cell r="K28">
            <v>18</v>
          </cell>
          <cell r="L28">
            <v>18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T28">
            <v>25</v>
          </cell>
          <cell r="U28" t="str">
            <v>Interruptible Transp</v>
          </cell>
          <cell r="X28">
            <v>17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17</v>
          </cell>
          <cell r="AE28">
            <v>17</v>
          </cell>
          <cell r="AF28">
            <v>18</v>
          </cell>
          <cell r="AG28">
            <v>18</v>
          </cell>
          <cell r="AH28">
            <v>18</v>
          </cell>
          <cell r="AI28">
            <v>17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A30">
            <v>27</v>
          </cell>
          <cell r="D30">
            <v>753004</v>
          </cell>
          <cell r="E30">
            <v>61770</v>
          </cell>
          <cell r="F30">
            <v>61838</v>
          </cell>
          <cell r="G30">
            <v>61988</v>
          </cell>
          <cell r="H30">
            <v>62528</v>
          </cell>
          <cell r="I30">
            <v>62518</v>
          </cell>
          <cell r="J30">
            <v>62758</v>
          </cell>
          <cell r="K30">
            <v>63398</v>
          </cell>
          <cell r="L30">
            <v>62896</v>
          </cell>
          <cell r="M30">
            <v>63033</v>
          </cell>
          <cell r="N30">
            <v>63148</v>
          </cell>
          <cell r="O30">
            <v>63401</v>
          </cell>
          <cell r="P30">
            <v>63728</v>
          </cell>
          <cell r="T30">
            <v>27</v>
          </cell>
          <cell r="X30">
            <v>60058</v>
          </cell>
          <cell r="Y30">
            <v>60069</v>
          </cell>
          <cell r="Z30">
            <v>60360</v>
          </cell>
          <cell r="AA30">
            <v>60456</v>
          </cell>
          <cell r="AB30">
            <v>60457</v>
          </cell>
          <cell r="AC30">
            <v>60632</v>
          </cell>
          <cell r="AD30">
            <v>60578</v>
          </cell>
          <cell r="AE30">
            <v>60743</v>
          </cell>
          <cell r="AF30">
            <v>60876</v>
          </cell>
          <cell r="AG30">
            <v>60878</v>
          </cell>
          <cell r="AH30">
            <v>61239</v>
          </cell>
          <cell r="AI30">
            <v>61437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1337976.9967864766</v>
          </cell>
          <cell r="E33">
            <v>190053.27393125274</v>
          </cell>
          <cell r="F33">
            <v>164712.71301976879</v>
          </cell>
          <cell r="G33">
            <v>131889.83250560067</v>
          </cell>
          <cell r="H33">
            <v>125141.66228454796</v>
          </cell>
          <cell r="I33">
            <v>99820.415814592125</v>
          </cell>
          <cell r="J33">
            <v>79489.72149187194</v>
          </cell>
          <cell r="K33">
            <v>65288.573376182641</v>
          </cell>
          <cell r="L33">
            <v>67035.584769697205</v>
          </cell>
          <cell r="M33">
            <v>72850.674846628768</v>
          </cell>
          <cell r="N33">
            <v>76250.234686924712</v>
          </cell>
          <cell r="O33">
            <v>102584.7219787744</v>
          </cell>
          <cell r="P33">
            <v>162859.58808063465</v>
          </cell>
          <cell r="T33">
            <v>30</v>
          </cell>
          <cell r="U33" t="str">
            <v>Residential</v>
          </cell>
          <cell r="X33">
            <v>214312.00701139352</v>
          </cell>
          <cell r="Y33">
            <v>151176.55078391274</v>
          </cell>
          <cell r="Z33">
            <v>138100.98354270135</v>
          </cell>
          <cell r="AA33">
            <v>134431.59022300126</v>
          </cell>
          <cell r="AB33">
            <v>96853.150258058231</v>
          </cell>
          <cell r="AC33">
            <v>84975.75226409582</v>
          </cell>
          <cell r="AD33">
            <v>68469.471224072448</v>
          </cell>
          <cell r="AE33">
            <v>65132.534813516409</v>
          </cell>
          <cell r="AF33">
            <v>71239.458564611938</v>
          </cell>
          <cell r="AG33">
            <v>65561.23</v>
          </cell>
          <cell r="AH33">
            <v>97805.65877885095</v>
          </cell>
          <cell r="AI33">
            <v>150840</v>
          </cell>
        </row>
        <row r="34">
          <cell r="A34">
            <v>31</v>
          </cell>
          <cell r="B34" t="str">
            <v>Commercial Small</v>
          </cell>
          <cell r="D34">
            <v>752931.03320673853</v>
          </cell>
          <cell r="E34">
            <v>83279.096309280299</v>
          </cell>
          <cell r="F34">
            <v>80291.457785568098</v>
          </cell>
          <cell r="G34">
            <v>68153.786152497807</v>
          </cell>
          <cell r="H34">
            <v>67088.342584477592</v>
          </cell>
          <cell r="I34">
            <v>59277.718375693883</v>
          </cell>
          <cell r="J34">
            <v>55529.197584964495</v>
          </cell>
          <cell r="K34">
            <v>41396.28785665601</v>
          </cell>
          <cell r="L34">
            <v>50820.219106047211</v>
          </cell>
          <cell r="M34">
            <v>51858.752556237218</v>
          </cell>
          <cell r="N34">
            <v>53610.395364689779</v>
          </cell>
          <cell r="O34">
            <v>63698.141006914011</v>
          </cell>
          <cell r="P34">
            <v>77927.638523712172</v>
          </cell>
          <cell r="T34">
            <v>31</v>
          </cell>
          <cell r="U34" t="str">
            <v>Commercial Small</v>
          </cell>
          <cell r="X34">
            <v>87081.11792774369</v>
          </cell>
          <cell r="Y34">
            <v>84722.270912454958</v>
          </cell>
          <cell r="Z34">
            <v>70946.343363521271</v>
          </cell>
          <cell r="AA34">
            <v>71746.616028824617</v>
          </cell>
          <cell r="AB34">
            <v>59273.152205667546</v>
          </cell>
          <cell r="AC34">
            <v>57255.526341415913</v>
          </cell>
          <cell r="AD34">
            <v>49309.767260687506</v>
          </cell>
          <cell r="AE34">
            <v>49490.797546012269</v>
          </cell>
          <cell r="AF34">
            <v>50488.363034375303</v>
          </cell>
          <cell r="AG34">
            <v>46247.79</v>
          </cell>
          <cell r="AH34">
            <v>59132.268964845651</v>
          </cell>
          <cell r="AI34">
            <v>76423</v>
          </cell>
        </row>
        <row r="35">
          <cell r="A35">
            <v>32</v>
          </cell>
          <cell r="B35" t="str">
            <v>Commercial Large</v>
          </cell>
          <cell r="D35">
            <v>885700.35154348041</v>
          </cell>
          <cell r="E35">
            <v>92238.215016067828</v>
          </cell>
          <cell r="F35">
            <v>84717.499269646447</v>
          </cell>
          <cell r="G35">
            <v>74826.632583503771</v>
          </cell>
          <cell r="H35">
            <v>82917.128250073103</v>
          </cell>
          <cell r="I35">
            <v>72958.256889667886</v>
          </cell>
          <cell r="J35">
            <v>71234.989775051072</v>
          </cell>
          <cell r="K35">
            <v>62530.391469471229</v>
          </cell>
          <cell r="L35">
            <v>65486.541045866259</v>
          </cell>
          <cell r="M35">
            <v>56565.034570065196</v>
          </cell>
          <cell r="N35">
            <v>62121.919368974573</v>
          </cell>
          <cell r="O35">
            <v>74336.245983055851</v>
          </cell>
          <cell r="P35">
            <v>85767.497322037219</v>
          </cell>
          <cell r="T35">
            <v>32</v>
          </cell>
          <cell r="U35" t="str">
            <v>Commercial Large</v>
          </cell>
          <cell r="X35">
            <v>101053.46187554776</v>
          </cell>
          <cell r="Y35">
            <v>86268.185801928135</v>
          </cell>
          <cell r="Z35">
            <v>83438.212094653805</v>
          </cell>
          <cell r="AA35">
            <v>83213.652741260099</v>
          </cell>
          <cell r="AB35">
            <v>73062.713019768227</v>
          </cell>
          <cell r="AC35">
            <v>69038.660044795019</v>
          </cell>
          <cell r="AD35">
            <v>56448.242282598112</v>
          </cell>
          <cell r="AE35">
            <v>58055.312104391858</v>
          </cell>
          <cell r="AF35">
            <v>57990.359333917615</v>
          </cell>
          <cell r="AG35">
            <v>54771.1</v>
          </cell>
          <cell r="AH35">
            <v>76478.41854124068</v>
          </cell>
          <cell r="AI35">
            <v>86459</v>
          </cell>
        </row>
        <row r="36">
          <cell r="A36">
            <v>33</v>
          </cell>
          <cell r="B36" t="str">
            <v>Outdoor Lights</v>
          </cell>
          <cell r="D36">
            <v>12238.449702989579</v>
          </cell>
          <cell r="E36">
            <v>1156.7065926575128</v>
          </cell>
          <cell r="F36">
            <v>1156.7065926575128</v>
          </cell>
          <cell r="G36">
            <v>1156.7065926575128</v>
          </cell>
          <cell r="H36">
            <v>1022.6136916934462</v>
          </cell>
          <cell r="I36">
            <v>1067.3113253481351</v>
          </cell>
          <cell r="J36">
            <v>1067.3113253481351</v>
          </cell>
          <cell r="K36">
            <v>988.43314831044881</v>
          </cell>
          <cell r="L36">
            <v>911.98948290972839</v>
          </cell>
          <cell r="M36">
            <v>927.66773785178691</v>
          </cell>
          <cell r="N36">
            <v>927.66773785178691</v>
          </cell>
          <cell r="O36">
            <v>927.66773785178691</v>
          </cell>
          <cell r="P36">
            <v>927.66773785178691</v>
          </cell>
          <cell r="T36">
            <v>33</v>
          </cell>
          <cell r="U36" t="str">
            <v>Outdoor Lights</v>
          </cell>
          <cell r="X36">
            <v>1442.1073132729575</v>
          </cell>
          <cell r="Y36">
            <v>1388.4506767942351</v>
          </cell>
          <cell r="Z36">
            <v>1388.4506767942351</v>
          </cell>
          <cell r="AA36">
            <v>1387.3794916739703</v>
          </cell>
          <cell r="AB36">
            <v>1385.1397409679619</v>
          </cell>
          <cell r="AC36">
            <v>1385.1397409679619</v>
          </cell>
          <cell r="AD36">
            <v>1385.1397409679619</v>
          </cell>
          <cell r="AE36">
            <v>1385.1397409679619</v>
          </cell>
          <cell r="AF36">
            <v>1295.7444736585842</v>
          </cell>
          <cell r="AG36">
            <v>1295.77</v>
          </cell>
          <cell r="AH36">
            <v>1226.5283864056871</v>
          </cell>
          <cell r="AI36">
            <v>1157</v>
          </cell>
        </row>
        <row r="37">
          <cell r="A37">
            <v>34</v>
          </cell>
          <cell r="B37" t="str">
            <v>Interdepartmental/Special Contracts</v>
          </cell>
          <cell r="D37">
            <v>2423530.0759567632</v>
          </cell>
          <cell r="E37">
            <v>199134.27987145778</v>
          </cell>
          <cell r="F37">
            <v>142253.12201772325</v>
          </cell>
          <cell r="G37">
            <v>205553.41318531503</v>
          </cell>
          <cell r="H37">
            <v>196381.5181614568</v>
          </cell>
          <cell r="I37">
            <v>204450.08472100497</v>
          </cell>
          <cell r="J37">
            <v>215999.92696465089</v>
          </cell>
          <cell r="K37">
            <v>187342.19106047327</v>
          </cell>
          <cell r="L37">
            <v>202232.24851494792</v>
          </cell>
          <cell r="M37">
            <v>180348.46138864543</v>
          </cell>
          <cell r="N37">
            <v>225798.32505599377</v>
          </cell>
          <cell r="O37">
            <v>224451.10624208782</v>
          </cell>
          <cell r="P37">
            <v>239585.39877300613</v>
          </cell>
          <cell r="T37">
            <v>34</v>
          </cell>
          <cell r="U37" t="str">
            <v>Interdepartmental/Special Contracts</v>
          </cell>
          <cell r="X37">
            <v>159342.1949556919</v>
          </cell>
          <cell r="Y37">
            <v>133477.4564222417</v>
          </cell>
          <cell r="Z37">
            <v>210268.38056285909</v>
          </cell>
          <cell r="AA37">
            <v>165391.85899308597</v>
          </cell>
          <cell r="AB37">
            <v>164903.69071964163</v>
          </cell>
          <cell r="AC37">
            <v>174935.7288927841</v>
          </cell>
          <cell r="AD37">
            <v>145961.2425747395</v>
          </cell>
          <cell r="AE37">
            <v>156281.13740383679</v>
          </cell>
          <cell r="AF37">
            <v>163115.00632973024</v>
          </cell>
          <cell r="AG37">
            <v>176991.65</v>
          </cell>
          <cell r="AH37">
            <v>203650.19183951701</v>
          </cell>
          <cell r="AI37">
            <v>210351</v>
          </cell>
        </row>
        <row r="38">
          <cell r="A38">
            <v>35</v>
          </cell>
          <cell r="B38" t="str">
            <v>Unbilled</v>
          </cell>
          <cell r="D38">
            <v>17088</v>
          </cell>
          <cell r="E38">
            <v>20636</v>
          </cell>
          <cell r="F38">
            <v>-41604</v>
          </cell>
          <cell r="G38">
            <v>14168</v>
          </cell>
          <cell r="H38">
            <v>0</v>
          </cell>
          <cell r="I38">
            <v>-14099</v>
          </cell>
          <cell r="J38">
            <v>-50223</v>
          </cell>
          <cell r="K38">
            <v>4327</v>
          </cell>
          <cell r="L38">
            <v>-8267</v>
          </cell>
          <cell r="M38">
            <v>1447</v>
          </cell>
          <cell r="N38">
            <v>24763</v>
          </cell>
          <cell r="O38">
            <v>22114</v>
          </cell>
          <cell r="P38">
            <v>43826</v>
          </cell>
          <cell r="T38">
            <v>35</v>
          </cell>
          <cell r="U38" t="str">
            <v>Unbilled</v>
          </cell>
          <cell r="X38">
            <v>35169</v>
          </cell>
          <cell r="Y38">
            <v>-32050</v>
          </cell>
          <cell r="Z38">
            <v>0</v>
          </cell>
          <cell r="AA38">
            <v>0</v>
          </cell>
          <cell r="AB38">
            <v>0</v>
          </cell>
          <cell r="AC38">
            <v>-53888</v>
          </cell>
          <cell r="AD38">
            <v>-17611</v>
          </cell>
          <cell r="AE38">
            <v>-2096</v>
          </cell>
          <cell r="AF38">
            <v>-22630</v>
          </cell>
          <cell r="AG38">
            <v>35595</v>
          </cell>
          <cell r="AH38">
            <v>0</v>
          </cell>
          <cell r="AI38">
            <v>267888</v>
          </cell>
        </row>
        <row r="39">
          <cell r="A39">
            <v>36</v>
          </cell>
          <cell r="B39" t="str">
            <v>Commercial Small Transp</v>
          </cell>
          <cell r="D39">
            <v>652333.14052001154</v>
          </cell>
          <cell r="E39">
            <v>64449.438114714154</v>
          </cell>
          <cell r="F39">
            <v>61400.33206738728</v>
          </cell>
          <cell r="G39">
            <v>56384.012075177663</v>
          </cell>
          <cell r="H39">
            <v>56488.458467231503</v>
          </cell>
          <cell r="I39">
            <v>52938.840198656144</v>
          </cell>
          <cell r="J39">
            <v>49945.818482812356</v>
          </cell>
          <cell r="K39">
            <v>45686.188528581137</v>
          </cell>
          <cell r="L39">
            <v>48930.69821793749</v>
          </cell>
          <cell r="M39">
            <v>48079.925990846255</v>
          </cell>
          <cell r="N39">
            <v>49234.010127568334</v>
          </cell>
          <cell r="O39">
            <v>55495.332554289591</v>
          </cell>
          <cell r="P39">
            <v>63300.085694809619</v>
          </cell>
          <cell r="T39">
            <v>36</v>
          </cell>
          <cell r="U39" t="str">
            <v>Commercial Small Transp</v>
          </cell>
          <cell r="X39">
            <v>59402.083941961238</v>
          </cell>
          <cell r="Y39">
            <v>54789.755575031646</v>
          </cell>
          <cell r="Z39">
            <v>51459.927938455548</v>
          </cell>
          <cell r="AA39">
            <v>53379.881195832117</v>
          </cell>
          <cell r="AB39">
            <v>47579.316389132342</v>
          </cell>
          <cell r="AC39">
            <v>49190.184049079755</v>
          </cell>
          <cell r="AD39">
            <v>43807.381439283279</v>
          </cell>
          <cell r="AE39">
            <v>44689.745836985101</v>
          </cell>
          <cell r="AF39">
            <v>46887.330801441232</v>
          </cell>
          <cell r="AG39">
            <v>43946.76</v>
          </cell>
          <cell r="AH39">
            <v>53538.011490894933</v>
          </cell>
          <cell r="AI39">
            <v>59582</v>
          </cell>
        </row>
        <row r="40">
          <cell r="A40">
            <v>37</v>
          </cell>
          <cell r="B40" t="str">
            <v>Commercial Large Transp</v>
          </cell>
          <cell r="D40">
            <v>3213306.7056188518</v>
          </cell>
          <cell r="E40">
            <v>319974.42302074179</v>
          </cell>
          <cell r="F40">
            <v>284087.08442886354</v>
          </cell>
          <cell r="G40">
            <v>277631.1909630929</v>
          </cell>
          <cell r="H40">
            <v>275090.10614470718</v>
          </cell>
          <cell r="I40">
            <v>270742.28162430576</v>
          </cell>
          <cell r="J40">
            <v>247118.60161651555</v>
          </cell>
          <cell r="K40">
            <v>232546.74262342966</v>
          </cell>
          <cell r="L40">
            <v>243790.7157464214</v>
          </cell>
          <cell r="M40">
            <v>233420.90076930568</v>
          </cell>
          <cell r="N40">
            <v>248336.80105170925</v>
          </cell>
          <cell r="O40">
            <v>277656.70756646217</v>
          </cell>
          <cell r="P40">
            <v>302911.1500632969</v>
          </cell>
          <cell r="T40">
            <v>37</v>
          </cell>
          <cell r="U40" t="str">
            <v>Commercial Large Transp</v>
          </cell>
          <cell r="X40">
            <v>299415.81458759372</v>
          </cell>
          <cell r="Y40">
            <v>276740.87058136135</v>
          </cell>
          <cell r="Z40">
            <v>272869.51017625863</v>
          </cell>
          <cell r="AA40">
            <v>277765.11831726553</v>
          </cell>
          <cell r="AB40">
            <v>257994.25455253676</v>
          </cell>
          <cell r="AC40">
            <v>253157.17207128249</v>
          </cell>
          <cell r="AD40">
            <v>237891.42078099132</v>
          </cell>
          <cell r="AE40">
            <v>242211.89989288148</v>
          </cell>
          <cell r="AF40">
            <v>238763.46284935242</v>
          </cell>
          <cell r="AG40">
            <v>235723.01</v>
          </cell>
          <cell r="AH40">
            <v>261890.24832018701</v>
          </cell>
          <cell r="AI40">
            <v>285781</v>
          </cell>
        </row>
        <row r="41">
          <cell r="A41">
            <v>38</v>
          </cell>
          <cell r="B41" t="str">
            <v>Interruptible Transp</v>
          </cell>
          <cell r="D41">
            <v>972947.98032914591</v>
          </cell>
          <cell r="E41">
            <v>88365.894439575437</v>
          </cell>
          <cell r="F41">
            <v>78187.942350764424</v>
          </cell>
          <cell r="G41">
            <v>81465.792190086664</v>
          </cell>
          <cell r="H41">
            <v>83619.346577076649</v>
          </cell>
          <cell r="I41">
            <v>78306.41542506573</v>
          </cell>
          <cell r="J41">
            <v>80387.971564904074</v>
          </cell>
          <cell r="K41">
            <v>81067.504138669785</v>
          </cell>
          <cell r="L41">
            <v>76147.49537442789</v>
          </cell>
          <cell r="M41">
            <v>75497.784594410361</v>
          </cell>
          <cell r="N41">
            <v>84999.129418638608</v>
          </cell>
          <cell r="O41">
            <v>80875.121238679523</v>
          </cell>
          <cell r="P41">
            <v>84027.583016846824</v>
          </cell>
          <cell r="T41">
            <v>38</v>
          </cell>
          <cell r="U41" t="str">
            <v>Interruptible Transp</v>
          </cell>
          <cell r="X41">
            <v>89552.049858798331</v>
          </cell>
          <cell r="Y41">
            <v>77045.574057844002</v>
          </cell>
          <cell r="Z41">
            <v>89081.604830071083</v>
          </cell>
          <cell r="AA41">
            <v>81035.933391761617</v>
          </cell>
          <cell r="AB41">
            <v>83842.925309182974</v>
          </cell>
          <cell r="AC41">
            <v>89453.890349595866</v>
          </cell>
          <cell r="AD41">
            <v>85471.808355243935</v>
          </cell>
          <cell r="AE41">
            <v>81501.801538611355</v>
          </cell>
          <cell r="AF41">
            <v>79464.602200798516</v>
          </cell>
          <cell r="AG41">
            <v>86792.63</v>
          </cell>
          <cell r="AH41">
            <v>82474.379199532559</v>
          </cell>
          <cell r="AI41">
            <v>78527</v>
          </cell>
        </row>
        <row r="42">
          <cell r="A42">
            <v>39</v>
          </cell>
          <cell r="D42">
            <v>10268052.733664459</v>
          </cell>
          <cell r="E42">
            <v>1059287.3272957474</v>
          </cell>
          <cell r="F42">
            <v>855202.85753237933</v>
          </cell>
          <cell r="G42">
            <v>911229.36624793208</v>
          </cell>
          <cell r="H42">
            <v>887749.1761612643</v>
          </cell>
          <cell r="I42">
            <v>825462.32437433465</v>
          </cell>
          <cell r="J42">
            <v>750550.53880611854</v>
          </cell>
          <cell r="K42">
            <v>721173.31220177421</v>
          </cell>
          <cell r="L42">
            <v>747088.49225825502</v>
          </cell>
          <cell r="M42">
            <v>720996.20245399058</v>
          </cell>
          <cell r="N42">
            <v>826041.48281235085</v>
          </cell>
          <cell r="O42">
            <v>902139.04430811515</v>
          </cell>
          <cell r="P42">
            <v>1061132.6092121955</v>
          </cell>
          <cell r="T42">
            <v>39</v>
          </cell>
          <cell r="X42">
            <v>1046769.8374720032</v>
          </cell>
          <cell r="Y42">
            <v>833559.11481156875</v>
          </cell>
          <cell r="Z42">
            <v>917553.41318531509</v>
          </cell>
          <cell r="AA42">
            <v>868352.03038270515</v>
          </cell>
          <cell r="AB42">
            <v>784894.34219495568</v>
          </cell>
          <cell r="AC42">
            <v>725504.05375401699</v>
          </cell>
          <cell r="AD42">
            <v>671133.47365858406</v>
          </cell>
          <cell r="AE42">
            <v>696652.3688772032</v>
          </cell>
          <cell r="AF42">
            <v>686614.32758788578</v>
          </cell>
          <cell r="AG42">
            <v>746924.94000000006</v>
          </cell>
          <cell r="AH42">
            <v>836195.70552147448</v>
          </cell>
          <cell r="AI42">
            <v>1217008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669</v>
          </cell>
          <cell r="F45">
            <v>667</v>
          </cell>
          <cell r="G45">
            <v>670</v>
          </cell>
          <cell r="H45">
            <v>670</v>
          </cell>
          <cell r="I45">
            <v>669</v>
          </cell>
          <cell r="J45">
            <v>671</v>
          </cell>
          <cell r="K45">
            <v>669</v>
          </cell>
          <cell r="L45">
            <v>669</v>
          </cell>
          <cell r="M45">
            <v>667</v>
          </cell>
          <cell r="N45">
            <v>674</v>
          </cell>
          <cell r="O45">
            <v>671</v>
          </cell>
          <cell r="P45">
            <v>666</v>
          </cell>
          <cell r="T45">
            <v>42</v>
          </cell>
          <cell r="U45" t="str">
            <v>TS1 - RS</v>
          </cell>
          <cell r="X45">
            <v>671</v>
          </cell>
          <cell r="Y45">
            <v>671</v>
          </cell>
          <cell r="Z45">
            <v>673</v>
          </cell>
          <cell r="AA45">
            <v>670</v>
          </cell>
          <cell r="AB45">
            <v>671</v>
          </cell>
          <cell r="AC45">
            <v>667</v>
          </cell>
          <cell r="AD45">
            <v>669</v>
          </cell>
          <cell r="AE45">
            <v>673</v>
          </cell>
          <cell r="AF45">
            <v>671</v>
          </cell>
          <cell r="AG45">
            <v>668</v>
          </cell>
          <cell r="AH45">
            <v>672</v>
          </cell>
          <cell r="AI45">
            <v>668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23</v>
          </cell>
          <cell r="F47">
            <v>23</v>
          </cell>
          <cell r="G47">
            <v>23</v>
          </cell>
          <cell r="H47">
            <v>23</v>
          </cell>
          <cell r="I47">
            <v>23</v>
          </cell>
          <cell r="J47">
            <v>23</v>
          </cell>
          <cell r="K47">
            <v>23</v>
          </cell>
          <cell r="L47">
            <v>23</v>
          </cell>
          <cell r="M47">
            <v>22</v>
          </cell>
          <cell r="N47">
            <v>22</v>
          </cell>
          <cell r="O47">
            <v>22</v>
          </cell>
          <cell r="P47">
            <v>22</v>
          </cell>
          <cell r="T47">
            <v>44</v>
          </cell>
          <cell r="U47" t="str">
            <v>TS2</v>
          </cell>
          <cell r="X47">
            <v>23</v>
          </cell>
          <cell r="Y47">
            <v>23</v>
          </cell>
          <cell r="Z47">
            <v>23</v>
          </cell>
          <cell r="AA47">
            <v>24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23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695</v>
          </cell>
          <cell r="F50">
            <v>693</v>
          </cell>
          <cell r="G50">
            <v>696</v>
          </cell>
          <cell r="H50">
            <v>696</v>
          </cell>
          <cell r="I50">
            <v>695</v>
          </cell>
          <cell r="J50">
            <v>697</v>
          </cell>
          <cell r="K50">
            <v>695</v>
          </cell>
          <cell r="L50">
            <v>695</v>
          </cell>
          <cell r="M50">
            <v>692</v>
          </cell>
          <cell r="N50">
            <v>699</v>
          </cell>
          <cell r="O50">
            <v>696</v>
          </cell>
          <cell r="P50">
            <v>691</v>
          </cell>
          <cell r="T50">
            <v>47</v>
          </cell>
          <cell r="X50">
            <v>697</v>
          </cell>
          <cell r="Y50">
            <v>697</v>
          </cell>
          <cell r="Z50">
            <v>699</v>
          </cell>
          <cell r="AA50">
            <v>697</v>
          </cell>
          <cell r="AB50">
            <v>697</v>
          </cell>
          <cell r="AC50">
            <v>693</v>
          </cell>
          <cell r="AD50">
            <v>695</v>
          </cell>
          <cell r="AE50">
            <v>699</v>
          </cell>
          <cell r="AF50">
            <v>697</v>
          </cell>
          <cell r="AG50">
            <v>694</v>
          </cell>
          <cell r="AH50">
            <v>698</v>
          </cell>
          <cell r="AI50">
            <v>694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11164.059012562082</v>
          </cell>
          <cell r="E53">
            <v>1086.1846333625508</v>
          </cell>
          <cell r="F53">
            <v>974.87486610186045</v>
          </cell>
          <cell r="G53">
            <v>984.44541824910016</v>
          </cell>
          <cell r="H53">
            <v>948</v>
          </cell>
          <cell r="I53">
            <v>979.419612425747</v>
          </cell>
          <cell r="J53">
            <v>820.79559840295826</v>
          </cell>
          <cell r="K53">
            <v>853.18239361184055</v>
          </cell>
          <cell r="L53">
            <v>829.05346187554835</v>
          </cell>
          <cell r="M53">
            <v>834.62167689161549</v>
          </cell>
          <cell r="N53">
            <v>916.80007790437276</v>
          </cell>
          <cell r="O53">
            <v>898.68341610672894</v>
          </cell>
          <cell r="P53">
            <v>1037.9978576297599</v>
          </cell>
          <cell r="T53">
            <v>50</v>
          </cell>
          <cell r="U53" t="str">
            <v>TS1 - RS</v>
          </cell>
          <cell r="X53">
            <v>1222.3196026877008</v>
          </cell>
          <cell r="Y53">
            <v>957.24997565488366</v>
          </cell>
          <cell r="Z53">
            <v>982.76365761028342</v>
          </cell>
          <cell r="AA53">
            <v>944.20099328074787</v>
          </cell>
          <cell r="AB53">
            <v>979.55010224948876</v>
          </cell>
          <cell r="AC53">
            <v>868.34161067289904</v>
          </cell>
          <cell r="AD53">
            <v>851.59217061057552</v>
          </cell>
          <cell r="AE53">
            <v>816.53520303827054</v>
          </cell>
          <cell r="AF53">
            <v>817.02210536566361</v>
          </cell>
          <cell r="AG53">
            <v>843.02268964845655</v>
          </cell>
          <cell r="AH53">
            <v>935.04722952575707</v>
          </cell>
          <cell r="AI53">
            <v>1101.9573473561204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T54">
            <v>51</v>
          </cell>
          <cell r="U54" t="str">
            <v>TS1 - Com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A55">
            <v>52</v>
          </cell>
          <cell r="B55" t="str">
            <v>TS2</v>
          </cell>
          <cell r="D55">
            <v>8134.6648164378221</v>
          </cell>
          <cell r="E55">
            <v>689.3533937092219</v>
          </cell>
          <cell r="F55">
            <v>668.49839322231958</v>
          </cell>
          <cell r="G55">
            <v>690.55117343460904</v>
          </cell>
          <cell r="H55">
            <v>677</v>
          </cell>
          <cell r="I55">
            <v>715.54873892297212</v>
          </cell>
          <cell r="J55">
            <v>634.22046937384368</v>
          </cell>
          <cell r="K55">
            <v>682.58837277242196</v>
          </cell>
          <cell r="L55">
            <v>600.31843412211492</v>
          </cell>
          <cell r="M55">
            <v>636.26740675820429</v>
          </cell>
          <cell r="N55">
            <v>710.50345700652463</v>
          </cell>
          <cell r="O55">
            <v>650.69237510955293</v>
          </cell>
          <cell r="P55">
            <v>779.1226020060376</v>
          </cell>
          <cell r="T55">
            <v>52</v>
          </cell>
          <cell r="U55" t="str">
            <v>TS2</v>
          </cell>
          <cell r="X55">
            <v>781.86775732787999</v>
          </cell>
          <cell r="Y55">
            <v>670.65926575129026</v>
          </cell>
          <cell r="Z55">
            <v>693.44629467328855</v>
          </cell>
          <cell r="AA55">
            <v>677.08637647287958</v>
          </cell>
          <cell r="AB55">
            <v>734.15132924335376</v>
          </cell>
          <cell r="AC55">
            <v>651.96221637939425</v>
          </cell>
          <cell r="AD55">
            <v>687.99298860648548</v>
          </cell>
          <cell r="AE55">
            <v>642.71107215892494</v>
          </cell>
          <cell r="AF55">
            <v>638.62109260882266</v>
          </cell>
          <cell r="AG55">
            <v>695.19914305190377</v>
          </cell>
          <cell r="AH55">
            <v>699.09436167104877</v>
          </cell>
          <cell r="AI55">
            <v>744.96056091148114</v>
          </cell>
        </row>
        <row r="56">
          <cell r="A56">
            <v>53</v>
          </cell>
          <cell r="B56" t="str">
            <v>TS3</v>
          </cell>
          <cell r="D56">
            <v>376.9857824520401</v>
          </cell>
          <cell r="E56">
            <v>43.34501898919077</v>
          </cell>
          <cell r="F56">
            <v>33.213555360794622</v>
          </cell>
          <cell r="G56">
            <v>21.668127373648844</v>
          </cell>
          <cell r="H56">
            <v>23</v>
          </cell>
          <cell r="I56">
            <v>37.204206836108675</v>
          </cell>
          <cell r="J56">
            <v>39.536468984321743</v>
          </cell>
          <cell r="K56">
            <v>41.918395169928907</v>
          </cell>
          <cell r="L56">
            <v>25.928522738338689</v>
          </cell>
          <cell r="M56">
            <v>40.100301879442988</v>
          </cell>
          <cell r="N56">
            <v>19.141104294478527</v>
          </cell>
          <cell r="O56">
            <v>23.751095530236636</v>
          </cell>
          <cell r="P56">
            <v>28.178985295549712</v>
          </cell>
          <cell r="T56">
            <v>53</v>
          </cell>
          <cell r="U56" t="str">
            <v>TS3</v>
          </cell>
          <cell r="X56">
            <v>33.304119193689743</v>
          </cell>
          <cell r="Y56">
            <v>26.682247541143248</v>
          </cell>
          <cell r="Z56">
            <v>28.727237316194373</v>
          </cell>
          <cell r="AA56">
            <v>34.277923848475993</v>
          </cell>
          <cell r="AB56">
            <v>28.727237316194373</v>
          </cell>
          <cell r="AC56">
            <v>36.907196416398868</v>
          </cell>
          <cell r="AD56">
            <v>25.80582335183562</v>
          </cell>
          <cell r="AE56">
            <v>38.854805725971367</v>
          </cell>
          <cell r="AF56">
            <v>31.356509884117244</v>
          </cell>
          <cell r="AG56">
            <v>28.92199824715162</v>
          </cell>
          <cell r="AH56">
            <v>18.502288440938749</v>
          </cell>
          <cell r="AI56">
            <v>41.191936897458369</v>
          </cell>
        </row>
        <row r="57">
          <cell r="A57">
            <v>54</v>
          </cell>
          <cell r="B57" t="str">
            <v>TS4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9165.1572694517472</v>
          </cell>
          <cell r="AB57">
            <v>10747.979355341318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A58">
            <v>55</v>
          </cell>
          <cell r="D58">
            <v>19675.709611451945</v>
          </cell>
          <cell r="E58">
            <v>1818.8830460609636</v>
          </cell>
          <cell r="F58">
            <v>1676.5868146849746</v>
          </cell>
          <cell r="G58">
            <v>1696.6647190573578</v>
          </cell>
          <cell r="H58">
            <v>1648</v>
          </cell>
          <cell r="I58">
            <v>1732.1725581848277</v>
          </cell>
          <cell r="J58">
            <v>1494.5525367611237</v>
          </cell>
          <cell r="K58">
            <v>1577.6891615541915</v>
          </cell>
          <cell r="L58">
            <v>1455.3004187360018</v>
          </cell>
          <cell r="M58">
            <v>1510.9893855292628</v>
          </cell>
          <cell r="N58">
            <v>1646.4446392053758</v>
          </cell>
          <cell r="O58">
            <v>1573.1268867465185</v>
          </cell>
          <cell r="P58">
            <v>1845.2994449313471</v>
          </cell>
          <cell r="T58">
            <v>55</v>
          </cell>
          <cell r="X58">
            <v>2037.4914792092707</v>
          </cell>
          <cell r="Y58">
            <v>1654.591488947317</v>
          </cell>
          <cell r="Z58">
            <v>1704.9371895997663</v>
          </cell>
          <cell r="AA58">
            <v>10820.722563053851</v>
          </cell>
          <cell r="AB58">
            <v>12490.408024150354</v>
          </cell>
          <cell r="AC58">
            <v>1557.2110234686922</v>
          </cell>
          <cell r="AD58">
            <v>1565.3909825688968</v>
          </cell>
          <cell r="AE58">
            <v>1498.1010809231668</v>
          </cell>
          <cell r="AF58">
            <v>1486.9997078586034</v>
          </cell>
          <cell r="AG58">
            <v>1567.1438309475118</v>
          </cell>
          <cell r="AH58">
            <v>1652.6438796377447</v>
          </cell>
          <cell r="AI58">
            <v>1888.1098451650598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564</v>
          </cell>
          <cell r="F62">
            <v>568</v>
          </cell>
          <cell r="G62">
            <v>567</v>
          </cell>
          <cell r="H62">
            <v>570</v>
          </cell>
          <cell r="I62">
            <v>561</v>
          </cell>
          <cell r="J62">
            <v>558</v>
          </cell>
          <cell r="K62">
            <v>554</v>
          </cell>
          <cell r="L62">
            <v>554</v>
          </cell>
          <cell r="M62">
            <v>553</v>
          </cell>
          <cell r="N62">
            <v>556</v>
          </cell>
          <cell r="O62">
            <v>554</v>
          </cell>
          <cell r="P62">
            <v>561</v>
          </cell>
          <cell r="T62">
            <v>59</v>
          </cell>
          <cell r="U62" t="str">
            <v>Residential</v>
          </cell>
          <cell r="X62">
            <v>582</v>
          </cell>
          <cell r="Y62">
            <v>581</v>
          </cell>
          <cell r="Z62">
            <v>584</v>
          </cell>
          <cell r="AA62">
            <v>577</v>
          </cell>
          <cell r="AB62">
            <v>565</v>
          </cell>
          <cell r="AC62">
            <v>561</v>
          </cell>
          <cell r="AD62">
            <v>561</v>
          </cell>
          <cell r="AE62">
            <v>557</v>
          </cell>
          <cell r="AF62">
            <v>560</v>
          </cell>
          <cell r="AG62">
            <v>558</v>
          </cell>
          <cell r="AH62">
            <v>560</v>
          </cell>
          <cell r="AI62">
            <v>560</v>
          </cell>
        </row>
        <row r="63">
          <cell r="A63">
            <v>60</v>
          </cell>
          <cell r="B63" t="str">
            <v>Commercial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60</v>
          </cell>
          <cell r="U63" t="str">
            <v>Commercial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A64">
            <v>61</v>
          </cell>
          <cell r="B64" t="str">
            <v>Commercial Small Transp</v>
          </cell>
          <cell r="E64">
            <v>20</v>
          </cell>
          <cell r="F64">
            <v>19</v>
          </cell>
          <cell r="G64">
            <v>19</v>
          </cell>
          <cell r="H64">
            <v>19</v>
          </cell>
          <cell r="I64">
            <v>20</v>
          </cell>
          <cell r="J64">
            <v>21</v>
          </cell>
          <cell r="K64">
            <v>21</v>
          </cell>
          <cell r="L64">
            <v>21</v>
          </cell>
          <cell r="M64">
            <v>21</v>
          </cell>
          <cell r="N64">
            <v>21</v>
          </cell>
          <cell r="O64">
            <v>22</v>
          </cell>
          <cell r="P64">
            <v>22</v>
          </cell>
          <cell r="T64">
            <v>61</v>
          </cell>
          <cell r="U64" t="str">
            <v>Special Contract</v>
          </cell>
          <cell r="X64">
            <v>19</v>
          </cell>
          <cell r="Y64">
            <v>18</v>
          </cell>
          <cell r="Z64">
            <v>21</v>
          </cell>
          <cell r="AA64">
            <v>21</v>
          </cell>
          <cell r="AB64">
            <v>21</v>
          </cell>
          <cell r="AC64">
            <v>20</v>
          </cell>
          <cell r="AD64">
            <v>20</v>
          </cell>
          <cell r="AE64">
            <v>20</v>
          </cell>
          <cell r="AF64">
            <v>20</v>
          </cell>
          <cell r="AG64">
            <v>20</v>
          </cell>
          <cell r="AH64">
            <v>20</v>
          </cell>
          <cell r="AI64">
            <v>20</v>
          </cell>
        </row>
        <row r="65">
          <cell r="A65">
            <v>62</v>
          </cell>
          <cell r="B65" t="str">
            <v>Other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  <cell r="P65">
            <v>7</v>
          </cell>
          <cell r="T65">
            <v>62</v>
          </cell>
          <cell r="U65" t="str">
            <v>Other</v>
          </cell>
          <cell r="X65">
            <v>7</v>
          </cell>
          <cell r="Y65">
            <v>7</v>
          </cell>
          <cell r="Z65">
            <v>7</v>
          </cell>
          <cell r="AA65">
            <v>7</v>
          </cell>
          <cell r="AB65">
            <v>7</v>
          </cell>
          <cell r="AC65">
            <v>7</v>
          </cell>
          <cell r="AD65">
            <v>7</v>
          </cell>
          <cell r="AE65">
            <v>7</v>
          </cell>
          <cell r="AF65">
            <v>7</v>
          </cell>
          <cell r="AG65">
            <v>7</v>
          </cell>
          <cell r="AH65">
            <v>7</v>
          </cell>
          <cell r="AI65">
            <v>7</v>
          </cell>
        </row>
        <row r="66">
          <cell r="A66">
            <v>63</v>
          </cell>
          <cell r="E66">
            <v>591</v>
          </cell>
          <cell r="F66">
            <v>594</v>
          </cell>
          <cell r="G66">
            <v>593</v>
          </cell>
          <cell r="H66">
            <v>596</v>
          </cell>
          <cell r="I66">
            <v>588</v>
          </cell>
          <cell r="J66">
            <v>586</v>
          </cell>
          <cell r="K66">
            <v>582</v>
          </cell>
          <cell r="L66">
            <v>582</v>
          </cell>
          <cell r="M66">
            <v>581</v>
          </cell>
          <cell r="N66">
            <v>584</v>
          </cell>
          <cell r="O66">
            <v>583</v>
          </cell>
          <cell r="P66">
            <v>590</v>
          </cell>
          <cell r="T66">
            <v>63</v>
          </cell>
          <cell r="X66">
            <v>608</v>
          </cell>
          <cell r="Y66">
            <v>606</v>
          </cell>
          <cell r="Z66">
            <v>612</v>
          </cell>
          <cell r="AA66">
            <v>605</v>
          </cell>
          <cell r="AB66">
            <v>593</v>
          </cell>
          <cell r="AC66">
            <v>588</v>
          </cell>
          <cell r="AD66">
            <v>588</v>
          </cell>
          <cell r="AE66">
            <v>584</v>
          </cell>
          <cell r="AF66">
            <v>587</v>
          </cell>
          <cell r="AG66">
            <v>585</v>
          </cell>
          <cell r="AH66">
            <v>587</v>
          </cell>
          <cell r="AI66">
            <v>587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6768.6464115298431</v>
          </cell>
          <cell r="E69">
            <v>931.67591781088936</v>
          </cell>
          <cell r="F69">
            <v>882.66043431687717</v>
          </cell>
          <cell r="G69">
            <v>572.85422144317522</v>
          </cell>
          <cell r="H69">
            <v>565.46791313662163</v>
          </cell>
          <cell r="I69">
            <v>506.28590904664367</v>
          </cell>
          <cell r="J69">
            <v>449.19661115980125</v>
          </cell>
          <cell r="K69">
            <v>384.73269062226183</v>
          </cell>
          <cell r="L69">
            <v>417.63073327490537</v>
          </cell>
          <cell r="M69">
            <v>407.99493621579506</v>
          </cell>
          <cell r="N69">
            <v>425.84477553802708</v>
          </cell>
          <cell r="O69">
            <v>471.63988703865886</v>
          </cell>
          <cell r="P69">
            <v>752.66238192618562</v>
          </cell>
          <cell r="T69">
            <v>66</v>
          </cell>
          <cell r="U69" t="str">
            <v>Residential</v>
          </cell>
          <cell r="X69">
            <v>1224.5593533937092</v>
          </cell>
          <cell r="Y69">
            <v>812.93212581556134</v>
          </cell>
          <cell r="Z69">
            <v>570.55214723926383</v>
          </cell>
          <cell r="AA69">
            <v>624.40354464894347</v>
          </cell>
          <cell r="AB69">
            <v>462.07030869607559</v>
          </cell>
          <cell r="AC69">
            <v>519.13526146654976</v>
          </cell>
          <cell r="AD69">
            <v>404.6158340636868</v>
          </cell>
          <cell r="AE69">
            <v>432.27188625961634</v>
          </cell>
          <cell r="AF69">
            <v>437.91995325737656</v>
          </cell>
          <cell r="AG69">
            <v>382.60784886551755</v>
          </cell>
          <cell r="AH69">
            <v>473.46382315707467</v>
          </cell>
          <cell r="AI69">
            <v>711.65644171779138</v>
          </cell>
        </row>
        <row r="70">
          <cell r="A70">
            <v>67</v>
          </cell>
          <cell r="B70" t="str">
            <v>Commercial</v>
          </cell>
          <cell r="D70">
            <v>10279.779538416595</v>
          </cell>
          <cell r="E70">
            <v>733</v>
          </cell>
          <cell r="F70">
            <v>593</v>
          </cell>
          <cell r="G70">
            <v>393</v>
          </cell>
          <cell r="H70">
            <v>411.32</v>
          </cell>
          <cell r="I70">
            <v>345.02580582335185</v>
          </cell>
          <cell r="J70">
            <v>336.17781672996398</v>
          </cell>
          <cell r="K70">
            <v>200.73035349108972</v>
          </cell>
          <cell r="L70">
            <v>1029.6679326127178</v>
          </cell>
          <cell r="M70">
            <v>954.28376667640464</v>
          </cell>
          <cell r="N70">
            <v>1257.0347648261761</v>
          </cell>
          <cell r="O70">
            <v>1596.2781186094069</v>
          </cell>
          <cell r="P70">
            <v>2430.2609796474826</v>
          </cell>
          <cell r="T70">
            <v>67</v>
          </cell>
          <cell r="U70" t="str">
            <v>Commercial</v>
          </cell>
          <cell r="X70">
            <v>603.95364689843211</v>
          </cell>
          <cell r="Y70">
            <v>543.86989969812055</v>
          </cell>
          <cell r="Z70">
            <v>402.86298568507158</v>
          </cell>
          <cell r="AA70">
            <v>443.95754211705133</v>
          </cell>
          <cell r="AB70">
            <v>294.67328853831918</v>
          </cell>
          <cell r="AC70">
            <v>220.76151524004285</v>
          </cell>
          <cell r="AD70">
            <v>105.36566364787224</v>
          </cell>
          <cell r="AE70">
            <v>109.26088226701724</v>
          </cell>
          <cell r="AF70">
            <v>130.87934560327199</v>
          </cell>
          <cell r="AG70">
            <v>156.87992988606484</v>
          </cell>
          <cell r="AH70">
            <v>172.94770669003799</v>
          </cell>
          <cell r="AI70">
            <v>574.54474632388747</v>
          </cell>
        </row>
        <row r="71">
          <cell r="A71">
            <v>68</v>
          </cell>
          <cell r="B71" t="str">
            <v>Commercial Small Transp</v>
          </cell>
          <cell r="D71">
            <v>2533.6663745252704</v>
          </cell>
          <cell r="E71">
            <v>245.69091440257085</v>
          </cell>
          <cell r="F71">
            <v>217.35319894829098</v>
          </cell>
          <cell r="G71">
            <v>238.58214042263123</v>
          </cell>
          <cell r="H71">
            <v>212.97107800175286</v>
          </cell>
          <cell r="I71">
            <v>224.82617586912062</v>
          </cell>
          <cell r="J71">
            <v>191.98169247249001</v>
          </cell>
          <cell r="K71">
            <v>157.91021521082871</v>
          </cell>
          <cell r="L71">
            <v>189.54815464017918</v>
          </cell>
          <cell r="M71">
            <v>210.61641834647972</v>
          </cell>
          <cell r="N71">
            <v>214.97906319992208</v>
          </cell>
          <cell r="O71">
            <v>213.46966598500339</v>
          </cell>
          <cell r="P71">
            <v>215.73765702600056</v>
          </cell>
          <cell r="T71">
            <v>68</v>
          </cell>
          <cell r="U71" t="str">
            <v>Special Contract</v>
          </cell>
          <cell r="X71">
            <v>224.94887525562373</v>
          </cell>
          <cell r="Y71">
            <v>227.87028921998248</v>
          </cell>
          <cell r="Z71">
            <v>211.51037101957348</v>
          </cell>
          <cell r="AA71">
            <v>217.15843801733371</v>
          </cell>
          <cell r="AB71">
            <v>217.45057941376959</v>
          </cell>
          <cell r="AC71">
            <v>203.71993378128346</v>
          </cell>
          <cell r="AD71">
            <v>158.53539779920149</v>
          </cell>
          <cell r="AE71">
            <v>188.04167883922486</v>
          </cell>
          <cell r="AF71">
            <v>213.94488265653911</v>
          </cell>
          <cell r="AG71">
            <v>185.60716720225923</v>
          </cell>
          <cell r="AH71">
            <v>228.84409387476873</v>
          </cell>
          <cell r="AI71">
            <v>223.78030966988021</v>
          </cell>
        </row>
        <row r="72">
          <cell r="A72">
            <v>69</v>
          </cell>
          <cell r="D72">
            <v>19582.092324471709</v>
          </cell>
          <cell r="E72">
            <v>1910.3668322134602</v>
          </cell>
          <cell r="F72">
            <v>1693.0136332651682</v>
          </cell>
          <cell r="G72">
            <v>1204.4363618658065</v>
          </cell>
          <cell r="H72">
            <v>1189.7589911383745</v>
          </cell>
          <cell r="I72">
            <v>1076.1378907391161</v>
          </cell>
          <cell r="J72">
            <v>977.3561203622553</v>
          </cell>
          <cell r="K72">
            <v>743.37325932418025</v>
          </cell>
          <cell r="L72">
            <v>1636.8468205278023</v>
          </cell>
          <cell r="M72">
            <v>1572.8951212386796</v>
          </cell>
          <cell r="N72">
            <v>1897.8586035641254</v>
          </cell>
          <cell r="O72">
            <v>2281.3876716330692</v>
          </cell>
          <cell r="P72">
            <v>3398.6610185996692</v>
          </cell>
          <cell r="T72">
            <v>69</v>
          </cell>
          <cell r="X72">
            <v>2053.461875547765</v>
          </cell>
          <cell r="Y72">
            <v>1584.6723147336643</v>
          </cell>
          <cell r="Z72">
            <v>1184.925503943909</v>
          </cell>
          <cell r="AA72">
            <v>1285.5195247833285</v>
          </cell>
          <cell r="AB72">
            <v>974.19417664816433</v>
          </cell>
          <cell r="AC72">
            <v>943.61671048787605</v>
          </cell>
          <cell r="AD72">
            <v>668.51689551076049</v>
          </cell>
          <cell r="AE72">
            <v>729.57444736585853</v>
          </cell>
          <cell r="AF72">
            <v>782.74418151718771</v>
          </cell>
          <cell r="AG72">
            <v>725.0949459538416</v>
          </cell>
          <cell r="AH72">
            <v>875.25562372188142</v>
          </cell>
          <cell r="AI72">
            <v>1509.9814977115591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754134</v>
          </cell>
          <cell r="E76">
            <v>62363</v>
          </cell>
          <cell r="F76">
            <v>62468</v>
          </cell>
          <cell r="G76">
            <v>62701</v>
          </cell>
          <cell r="H76">
            <v>62839</v>
          </cell>
          <cell r="I76">
            <v>62785</v>
          </cell>
          <cell r="J76">
            <v>62788</v>
          </cell>
          <cell r="K76">
            <v>62826</v>
          </cell>
          <cell r="L76">
            <v>62927</v>
          </cell>
          <cell r="M76">
            <v>62987</v>
          </cell>
          <cell r="N76">
            <v>62970</v>
          </cell>
          <cell r="O76">
            <v>63110</v>
          </cell>
          <cell r="P76">
            <v>63370</v>
          </cell>
          <cell r="T76">
            <v>73</v>
          </cell>
          <cell r="U76" t="str">
            <v xml:space="preserve">Customers </v>
          </cell>
          <cell r="X76">
            <v>61186</v>
          </cell>
          <cell r="Y76">
            <v>61313</v>
          </cell>
          <cell r="Z76">
            <v>61568</v>
          </cell>
          <cell r="AA76">
            <v>61728</v>
          </cell>
          <cell r="AB76">
            <v>61667</v>
          </cell>
          <cell r="AC76">
            <v>61704</v>
          </cell>
          <cell r="AD76">
            <v>61787</v>
          </cell>
          <cell r="AE76">
            <v>61858</v>
          </cell>
          <cell r="AF76">
            <v>61925</v>
          </cell>
          <cell r="AG76">
            <v>61986</v>
          </cell>
          <cell r="AH76">
            <v>62226</v>
          </cell>
          <cell r="AI76">
            <v>62394</v>
          </cell>
        </row>
        <row r="77">
          <cell r="A77">
            <v>74</v>
          </cell>
          <cell r="B77" t="str">
            <v>Volume (mcfs)</v>
          </cell>
          <cell r="D77">
            <v>10038411.335086182</v>
          </cell>
          <cell r="E77">
            <v>1003551.4655760054</v>
          </cell>
          <cell r="F77">
            <v>945246.27519719547</v>
          </cell>
          <cell r="G77">
            <v>935374.13574836892</v>
          </cell>
          <cell r="H77">
            <v>882517.47979355336</v>
          </cell>
          <cell r="I77">
            <v>803963.28756451455</v>
          </cell>
          <cell r="J77">
            <v>786452.33226214815</v>
          </cell>
          <cell r="K77">
            <v>743042.26312201773</v>
          </cell>
          <cell r="L77">
            <v>728293.40734248713</v>
          </cell>
          <cell r="M77">
            <v>718250.55993767653</v>
          </cell>
          <cell r="N77">
            <v>760065.73181419808</v>
          </cell>
          <cell r="O77">
            <v>818185.21764534037</v>
          </cell>
          <cell r="P77">
            <v>913469.17908267595</v>
          </cell>
          <cell r="T77">
            <v>74</v>
          </cell>
          <cell r="U77" t="str">
            <v>Volume (mcfs)</v>
          </cell>
          <cell r="X77">
            <v>938417.95964902686</v>
          </cell>
          <cell r="Y77">
            <v>905984.11598657409</v>
          </cell>
          <cell r="Z77">
            <v>896395.73913431587</v>
          </cell>
          <cell r="AA77">
            <v>816603.84522296581</v>
          </cell>
          <cell r="AB77">
            <v>1158603.3150259138</v>
          </cell>
          <cell r="AC77">
            <v>1135563.9932312428</v>
          </cell>
          <cell r="AD77">
            <v>1112956.7061684872</v>
          </cell>
          <cell r="AE77">
            <v>1095339.8787173056</v>
          </cell>
          <cell r="AF77">
            <v>1101781.2209003596</v>
          </cell>
          <cell r="AG77">
            <v>1133577.4743852043</v>
          </cell>
          <cell r="AH77">
            <v>1197550.0865273057</v>
          </cell>
          <cell r="AI77">
            <v>1282668.6194088443</v>
          </cell>
        </row>
        <row r="78">
          <cell r="A78">
            <v>75</v>
          </cell>
          <cell r="B78" t="str">
            <v>Volume (dts) (mcfs*1.0269)</v>
          </cell>
          <cell r="D78">
            <v>10308446</v>
          </cell>
          <cell r="E78">
            <v>1030547</v>
          </cell>
          <cell r="F78">
            <v>970673</v>
          </cell>
          <cell r="G78">
            <v>960536</v>
          </cell>
          <cell r="H78">
            <v>906257</v>
          </cell>
          <cell r="I78">
            <v>825590</v>
          </cell>
          <cell r="J78">
            <v>807608</v>
          </cell>
          <cell r="K78">
            <v>763030</v>
          </cell>
          <cell r="L78">
            <v>747885</v>
          </cell>
          <cell r="M78">
            <v>737572</v>
          </cell>
          <cell r="N78">
            <v>780512</v>
          </cell>
          <cell r="O78">
            <v>840194</v>
          </cell>
          <cell r="P78">
            <v>938042</v>
          </cell>
          <cell r="T78">
            <v>75</v>
          </cell>
          <cell r="U78" t="str">
            <v>Volume (dts) (mcfs*1.0269)</v>
          </cell>
          <cell r="X78">
            <v>963661</v>
          </cell>
          <cell r="Y78">
            <v>930355</v>
          </cell>
          <cell r="Z78">
            <v>920509</v>
          </cell>
          <cell r="AA78">
            <v>838570</v>
          </cell>
          <cell r="AB78">
            <v>1189770</v>
          </cell>
          <cell r="AC78">
            <v>1166111</v>
          </cell>
          <cell r="AD78">
            <v>1142895</v>
          </cell>
          <cell r="AE78">
            <v>1124805</v>
          </cell>
          <cell r="AF78">
            <v>1131419</v>
          </cell>
          <cell r="AG78">
            <v>1164071</v>
          </cell>
          <cell r="AH78">
            <v>1229764</v>
          </cell>
          <cell r="AI78">
            <v>1317172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- 2019 - actual in Dts (mcfs*1.0269)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- 2018 - actual in Dts (mcfs*1.0269)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1392382</v>
          </cell>
          <cell r="E81">
            <v>197238</v>
          </cell>
          <cell r="F81">
            <v>171051</v>
          </cell>
          <cell r="G81">
            <v>137037</v>
          </cell>
          <cell r="H81">
            <v>130062</v>
          </cell>
          <cell r="I81">
            <v>104031</v>
          </cell>
          <cell r="J81">
            <v>82932</v>
          </cell>
          <cell r="K81">
            <v>68316</v>
          </cell>
          <cell r="L81">
            <v>70119</v>
          </cell>
          <cell r="M81">
            <v>76086</v>
          </cell>
          <cell r="N81">
            <v>79680</v>
          </cell>
          <cell r="O81">
            <v>106751</v>
          </cell>
          <cell r="P81">
            <v>169079</v>
          </cell>
          <cell r="T81">
            <v>78</v>
          </cell>
          <cell r="U81" t="str">
            <v>Residential</v>
          </cell>
          <cell r="W81">
            <v>1393785</v>
          </cell>
          <cell r="X81">
            <v>222590</v>
          </cell>
          <cell r="Y81">
            <v>157061</v>
          </cell>
          <cell r="Z81">
            <v>143411</v>
          </cell>
          <cell r="AA81">
            <v>139659</v>
          </cell>
          <cell r="AB81">
            <v>100939</v>
          </cell>
          <cell r="AC81">
            <v>88686</v>
          </cell>
          <cell r="AD81">
            <v>71601</v>
          </cell>
          <cell r="AE81">
            <v>68167</v>
          </cell>
          <cell r="AF81">
            <v>74445</v>
          </cell>
          <cell r="AG81">
            <v>68583</v>
          </cell>
          <cell r="AH81">
            <v>101883</v>
          </cell>
          <cell r="AI81">
            <v>156760</v>
          </cell>
        </row>
        <row r="82">
          <cell r="A82">
            <v>79</v>
          </cell>
          <cell r="B82" t="str">
            <v>Commercial</v>
          </cell>
          <cell r="D82">
            <v>1714574</v>
          </cell>
          <cell r="E82">
            <v>182932</v>
          </cell>
          <cell r="F82">
            <v>171965</v>
          </cell>
          <cell r="G82">
            <v>149149</v>
          </cell>
          <cell r="H82">
            <v>156232</v>
          </cell>
          <cell r="I82">
            <v>138016</v>
          </cell>
          <cell r="J82">
            <v>132307</v>
          </cell>
          <cell r="K82">
            <v>108687</v>
          </cell>
          <cell r="L82">
            <v>122072</v>
          </cell>
          <cell r="M82">
            <v>113968</v>
          </cell>
          <cell r="N82">
            <v>121838</v>
          </cell>
          <cell r="O82">
            <v>145032</v>
          </cell>
          <cell r="P82">
            <v>172376</v>
          </cell>
          <cell r="T82">
            <v>79</v>
          </cell>
          <cell r="U82" t="str">
            <v>Commercial</v>
          </cell>
          <cell r="W82">
            <v>1722081</v>
          </cell>
          <cell r="X82">
            <v>196134</v>
          </cell>
          <cell r="Y82">
            <v>178291</v>
          </cell>
          <cell r="Z82">
            <v>161119</v>
          </cell>
          <cell r="AA82">
            <v>161740</v>
          </cell>
          <cell r="AB82">
            <v>138404</v>
          </cell>
          <cell r="AC82">
            <v>132048</v>
          </cell>
          <cell r="AD82">
            <v>110867</v>
          </cell>
          <cell r="AE82">
            <v>112674</v>
          </cell>
          <cell r="AF82">
            <v>113550</v>
          </cell>
          <cell r="AG82">
            <v>105972</v>
          </cell>
          <cell r="AH82">
            <v>141433</v>
          </cell>
          <cell r="AI82">
            <v>169849</v>
          </cell>
        </row>
        <row r="83">
          <cell r="A83">
            <v>80</v>
          </cell>
          <cell r="B83" t="str">
            <v xml:space="preserve">Industrial </v>
          </cell>
          <cell r="D83">
            <v>4968745</v>
          </cell>
          <cell r="E83">
            <v>485508</v>
          </cell>
          <cell r="F83">
            <v>435072</v>
          </cell>
          <cell r="G83">
            <v>426657</v>
          </cell>
          <cell r="H83">
            <v>426367</v>
          </cell>
          <cell r="I83">
            <v>412801</v>
          </cell>
          <cell r="J83">
            <v>387606</v>
          </cell>
          <cell r="K83">
            <v>368966</v>
          </cell>
          <cell r="L83">
            <v>378791</v>
          </cell>
          <cell r="M83">
            <v>366602</v>
          </cell>
          <cell r="N83">
            <v>392861</v>
          </cell>
          <cell r="O83">
            <v>425164</v>
          </cell>
          <cell r="P83">
            <v>462350</v>
          </cell>
          <cell r="T83">
            <v>80</v>
          </cell>
          <cell r="U83" t="str">
            <v xml:space="preserve">Industrial </v>
          </cell>
          <cell r="W83">
            <v>4900998</v>
          </cell>
          <cell r="X83">
            <v>460431</v>
          </cell>
          <cell r="Y83">
            <v>419567</v>
          </cell>
          <cell r="Z83">
            <v>424532</v>
          </cell>
          <cell r="AA83">
            <v>432680</v>
          </cell>
          <cell r="AB83">
            <v>410929</v>
          </cell>
          <cell r="AC83">
            <v>402341</v>
          </cell>
          <cell r="AD83">
            <v>377048</v>
          </cell>
          <cell r="AE83">
            <v>378314</v>
          </cell>
          <cell r="AF83">
            <v>374937</v>
          </cell>
          <cell r="AG83">
            <v>376320</v>
          </cell>
          <cell r="AH83">
            <v>408606</v>
          </cell>
          <cell r="AI83">
            <v>435293</v>
          </cell>
        </row>
        <row r="84">
          <cell r="A84">
            <v>81</v>
          </cell>
          <cell r="B84" t="str">
            <v>Other</v>
          </cell>
          <cell r="D84">
            <v>2574925</v>
          </cell>
          <cell r="E84">
            <v>225934</v>
          </cell>
          <cell r="F84">
            <v>103580</v>
          </cell>
          <cell r="G84">
            <v>225877</v>
          </cell>
          <cell r="H84">
            <v>201883</v>
          </cell>
          <cell r="I84">
            <v>210181</v>
          </cell>
          <cell r="J84">
            <v>222007</v>
          </cell>
          <cell r="K84">
            <v>196987</v>
          </cell>
          <cell r="L84">
            <v>199378</v>
          </cell>
          <cell r="M84">
            <v>186902</v>
          </cell>
          <cell r="N84">
            <v>257522</v>
          </cell>
          <cell r="O84">
            <v>253417</v>
          </cell>
          <cell r="P84">
            <v>291257</v>
          </cell>
          <cell r="T84">
            <v>81</v>
          </cell>
          <cell r="U84" t="str">
            <v>Other</v>
          </cell>
          <cell r="W84">
            <v>2338815</v>
          </cell>
          <cell r="X84">
            <v>199975</v>
          </cell>
          <cell r="Y84">
            <v>104390</v>
          </cell>
          <cell r="Z84">
            <v>216142</v>
          </cell>
          <cell r="AA84">
            <v>170064</v>
          </cell>
          <cell r="AB84">
            <v>169563</v>
          </cell>
          <cell r="AC84">
            <v>124513</v>
          </cell>
          <cell r="AD84">
            <v>131966</v>
          </cell>
          <cell r="AE84">
            <v>158526</v>
          </cell>
          <cell r="AF84">
            <v>144484</v>
          </cell>
          <cell r="AG84">
            <v>218496</v>
          </cell>
          <cell r="AH84">
            <v>209363</v>
          </cell>
          <cell r="AI84">
            <v>491333</v>
          </cell>
        </row>
        <row r="85">
          <cell r="A85">
            <v>82</v>
          </cell>
          <cell r="B85" t="str">
            <v>Total Deliveries</v>
          </cell>
          <cell r="D85">
            <v>10650626</v>
          </cell>
          <cell r="E85">
            <v>1091612</v>
          </cell>
          <cell r="F85">
            <v>881668</v>
          </cell>
          <cell r="G85">
            <v>938720</v>
          </cell>
          <cell r="H85">
            <v>914544</v>
          </cell>
          <cell r="I85">
            <v>865029</v>
          </cell>
          <cell r="J85">
            <v>824852</v>
          </cell>
          <cell r="K85">
            <v>742956</v>
          </cell>
          <cell r="L85">
            <v>770360</v>
          </cell>
          <cell r="M85">
            <v>743558</v>
          </cell>
          <cell r="N85">
            <v>851901</v>
          </cell>
          <cell r="O85">
            <v>930364</v>
          </cell>
          <cell r="P85">
            <v>1095062</v>
          </cell>
          <cell r="T85">
            <v>82</v>
          </cell>
          <cell r="U85" t="str">
            <v>Total Deliveries</v>
          </cell>
          <cell r="W85">
            <v>10355679</v>
          </cell>
          <cell r="X85">
            <v>1079130</v>
          </cell>
          <cell r="Y85">
            <v>859309</v>
          </cell>
          <cell r="Z85">
            <v>945204</v>
          </cell>
          <cell r="AA85">
            <v>904143</v>
          </cell>
          <cell r="AB85">
            <v>819835</v>
          </cell>
          <cell r="AC85">
            <v>747588</v>
          </cell>
          <cell r="AD85">
            <v>691482</v>
          </cell>
          <cell r="AE85">
            <v>717681</v>
          </cell>
          <cell r="AF85">
            <v>707416</v>
          </cell>
          <cell r="AG85">
            <v>769371</v>
          </cell>
          <cell r="AH85">
            <v>861285</v>
          </cell>
          <cell r="AI85">
            <v>1253235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- 2019</v>
          </cell>
          <cell r="T89">
            <v>86</v>
          </cell>
          <cell r="U89" t="str">
            <v>Customers - 2018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56743</v>
          </cell>
          <cell r="F91">
            <v>56770</v>
          </cell>
          <cell r="G91">
            <v>56829</v>
          </cell>
          <cell r="H91">
            <v>56980</v>
          </cell>
          <cell r="I91">
            <v>57069</v>
          </cell>
          <cell r="J91">
            <v>57166</v>
          </cell>
          <cell r="K91">
            <v>57328</v>
          </cell>
          <cell r="L91">
            <v>57386</v>
          </cell>
          <cell r="M91">
            <v>57444</v>
          </cell>
          <cell r="N91">
            <v>57501</v>
          </cell>
          <cell r="O91">
            <v>57569</v>
          </cell>
          <cell r="P91">
            <v>57653</v>
          </cell>
          <cell r="T91">
            <v>88</v>
          </cell>
          <cell r="U91" t="str">
            <v>Residential</v>
          </cell>
          <cell r="X91">
            <v>55186</v>
          </cell>
          <cell r="Y91">
            <v>55190</v>
          </cell>
          <cell r="Z91">
            <v>55280</v>
          </cell>
          <cell r="AA91">
            <v>55343</v>
          </cell>
          <cell r="AB91">
            <v>55379</v>
          </cell>
          <cell r="AC91">
            <v>55430</v>
          </cell>
          <cell r="AD91">
            <v>55459</v>
          </cell>
          <cell r="AE91">
            <v>55500</v>
          </cell>
          <cell r="AF91">
            <v>55541</v>
          </cell>
          <cell r="AG91">
            <v>55577</v>
          </cell>
          <cell r="AH91">
            <v>55636</v>
          </cell>
          <cell r="AI91">
            <v>55701</v>
          </cell>
        </row>
        <row r="92">
          <cell r="A92">
            <v>89</v>
          </cell>
          <cell r="B92" t="str">
            <v>Commercial</v>
          </cell>
          <cell r="E92">
            <v>3892</v>
          </cell>
          <cell r="F92">
            <v>3897</v>
          </cell>
          <cell r="G92">
            <v>3897</v>
          </cell>
          <cell r="H92">
            <v>3908</v>
          </cell>
          <cell r="I92">
            <v>3913</v>
          </cell>
          <cell r="J92">
            <v>3917</v>
          </cell>
          <cell r="K92">
            <v>3917</v>
          </cell>
          <cell r="L92">
            <v>3920</v>
          </cell>
          <cell r="M92">
            <v>3923</v>
          </cell>
          <cell r="N92">
            <v>3926</v>
          </cell>
          <cell r="O92">
            <v>3929</v>
          </cell>
          <cell r="P92">
            <v>3932</v>
          </cell>
          <cell r="T92">
            <v>89</v>
          </cell>
          <cell r="U92" t="str">
            <v>Commercial</v>
          </cell>
          <cell r="X92">
            <v>3934</v>
          </cell>
          <cell r="Y92">
            <v>3927</v>
          </cell>
          <cell r="Z92">
            <v>3927</v>
          </cell>
          <cell r="AA92">
            <v>3931</v>
          </cell>
          <cell r="AB92">
            <v>3931</v>
          </cell>
          <cell r="AC92">
            <v>3928</v>
          </cell>
          <cell r="AD92">
            <v>3924</v>
          </cell>
          <cell r="AE92">
            <v>3923</v>
          </cell>
          <cell r="AF92">
            <v>3923</v>
          </cell>
          <cell r="AG92">
            <v>3919</v>
          </cell>
          <cell r="AH92">
            <v>3918</v>
          </cell>
          <cell r="AI92">
            <v>3915</v>
          </cell>
        </row>
        <row r="93">
          <cell r="A93">
            <v>90</v>
          </cell>
          <cell r="B93" t="str">
            <v xml:space="preserve">Industrial </v>
          </cell>
          <cell r="E93">
            <v>2409</v>
          </cell>
          <cell r="F93">
            <v>2412</v>
          </cell>
          <cell r="G93">
            <v>2415</v>
          </cell>
          <cell r="H93">
            <v>2420</v>
          </cell>
          <cell r="I93">
            <v>2422</v>
          </cell>
          <cell r="J93">
            <v>2425</v>
          </cell>
          <cell r="K93">
            <v>2427</v>
          </cell>
          <cell r="L93">
            <v>2428</v>
          </cell>
          <cell r="M93">
            <v>2430</v>
          </cell>
          <cell r="N93">
            <v>2431</v>
          </cell>
          <cell r="O93">
            <v>2434</v>
          </cell>
          <cell r="P93">
            <v>2436</v>
          </cell>
          <cell r="T93">
            <v>90</v>
          </cell>
          <cell r="U93" t="str">
            <v xml:space="preserve">Industrial </v>
          </cell>
          <cell r="X93">
            <v>2233</v>
          </cell>
          <cell r="Y93">
            <v>2242</v>
          </cell>
          <cell r="Z93">
            <v>2251</v>
          </cell>
          <cell r="AA93">
            <v>2258</v>
          </cell>
          <cell r="AB93">
            <v>2262</v>
          </cell>
          <cell r="AC93">
            <v>2269</v>
          </cell>
          <cell r="AD93">
            <v>2275</v>
          </cell>
          <cell r="AE93">
            <v>2280</v>
          </cell>
          <cell r="AF93">
            <v>2289</v>
          </cell>
          <cell r="AG93">
            <v>2296</v>
          </cell>
          <cell r="AH93">
            <v>2303</v>
          </cell>
          <cell r="AI93">
            <v>2312</v>
          </cell>
        </row>
        <row r="94">
          <cell r="A94">
            <v>91</v>
          </cell>
          <cell r="B94" t="str">
            <v>Other</v>
          </cell>
          <cell r="E94">
            <v>12</v>
          </cell>
          <cell r="F94">
            <v>12</v>
          </cell>
          <cell r="G94">
            <v>12</v>
          </cell>
          <cell r="H94">
            <v>12</v>
          </cell>
          <cell r="I94">
            <v>12</v>
          </cell>
          <cell r="J94">
            <v>12</v>
          </cell>
          <cell r="K94">
            <v>12</v>
          </cell>
          <cell r="L94">
            <v>12</v>
          </cell>
          <cell r="M94">
            <v>12</v>
          </cell>
          <cell r="N94">
            <v>12</v>
          </cell>
          <cell r="O94">
            <v>12</v>
          </cell>
          <cell r="P94">
            <v>12</v>
          </cell>
          <cell r="T94">
            <v>91</v>
          </cell>
          <cell r="U94" t="str">
            <v>Other</v>
          </cell>
          <cell r="X94">
            <v>10</v>
          </cell>
          <cell r="Y94">
            <v>10</v>
          </cell>
          <cell r="Z94">
            <v>10</v>
          </cell>
          <cell r="AA94">
            <v>10</v>
          </cell>
          <cell r="AB94">
            <v>10</v>
          </cell>
          <cell r="AC94">
            <v>11</v>
          </cell>
          <cell r="AD94">
            <v>11</v>
          </cell>
          <cell r="AE94">
            <v>11</v>
          </cell>
          <cell r="AF94">
            <v>11</v>
          </cell>
          <cell r="AG94">
            <v>11</v>
          </cell>
          <cell r="AH94">
            <v>11</v>
          </cell>
          <cell r="AI94">
            <v>11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63056</v>
          </cell>
          <cell r="F95">
            <v>63091</v>
          </cell>
          <cell r="G95">
            <v>63153</v>
          </cell>
          <cell r="H95">
            <v>63320</v>
          </cell>
          <cell r="I95">
            <v>63416</v>
          </cell>
          <cell r="J95">
            <v>63520</v>
          </cell>
          <cell r="K95">
            <v>63684</v>
          </cell>
          <cell r="L95">
            <v>63746</v>
          </cell>
          <cell r="M95">
            <v>63809</v>
          </cell>
          <cell r="N95">
            <v>63870</v>
          </cell>
          <cell r="O95">
            <v>63944</v>
          </cell>
          <cell r="P95">
            <v>64033</v>
          </cell>
          <cell r="T95">
            <v>92</v>
          </cell>
          <cell r="U95" t="str">
            <v>Total customers</v>
          </cell>
          <cell r="X95">
            <v>61363</v>
          </cell>
          <cell r="Y95">
            <v>61369</v>
          </cell>
          <cell r="Z95">
            <v>61468</v>
          </cell>
          <cell r="AA95">
            <v>61542</v>
          </cell>
          <cell r="AB95">
            <v>61582</v>
          </cell>
          <cell r="AC95">
            <v>61638</v>
          </cell>
          <cell r="AD95">
            <v>61669</v>
          </cell>
          <cell r="AE95">
            <v>61714</v>
          </cell>
          <cell r="AF95">
            <v>61764</v>
          </cell>
          <cell r="AG95">
            <v>61803</v>
          </cell>
          <cell r="AH95">
            <v>61868</v>
          </cell>
          <cell r="AI95">
            <v>61939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82858</v>
          </cell>
          <cell r="T97">
            <v>94</v>
          </cell>
        </row>
        <row r="98">
          <cell r="A98">
            <v>95</v>
          </cell>
          <cell r="B98" t="str">
            <v>Volume - 2019 -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- 2018 -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192071.13448242616</v>
          </cell>
          <cell r="F99">
            <v>358641.38280261366</v>
          </cell>
          <cell r="G99">
            <v>492088.5149479066</v>
          </cell>
          <cell r="H99">
            <v>618743.64514559123</v>
          </cell>
          <cell r="I99">
            <v>720049.76648165577</v>
          </cell>
          <cell r="J99">
            <v>800809.48018309043</v>
          </cell>
          <cell r="K99">
            <v>867335.96864350722</v>
          </cell>
          <cell r="L99">
            <v>935618.23760835489</v>
          </cell>
          <cell r="M99">
            <v>1009711.5290680911</v>
          </cell>
          <cell r="N99">
            <v>1087304.4086084582</v>
          </cell>
          <cell r="O99">
            <v>1191259.4538903781</v>
          </cell>
          <cell r="P99">
            <v>1355909.7022105688</v>
          </cell>
          <cell r="T99">
            <v>96</v>
          </cell>
          <cell r="U99" t="str">
            <v>Residential</v>
          </cell>
          <cell r="X99">
            <v>216758.88596747493</v>
          </cell>
          <cell r="Y99">
            <v>369705.61885285808</v>
          </cell>
          <cell r="Z99">
            <v>509359.91820040898</v>
          </cell>
          <cell r="AA99">
            <v>645360.11296134</v>
          </cell>
          <cell r="AB99">
            <v>743654.88363034383</v>
          </cell>
          <cell r="AC99">
            <v>830018.11276657914</v>
          </cell>
          <cell r="AD99">
            <v>899743.79199532582</v>
          </cell>
          <cell r="AE99">
            <v>966125.13389814016</v>
          </cell>
          <cell r="AF99">
            <v>1038619.5345213751</v>
          </cell>
          <cell r="AG99">
            <v>1105406.3950598889</v>
          </cell>
          <cell r="AH99">
            <v>1204620.5648914226</v>
          </cell>
          <cell r="AI99">
            <v>1357274.1786804965</v>
          </cell>
        </row>
        <row r="100">
          <cell r="A100">
            <v>97</v>
          </cell>
          <cell r="B100" t="str">
            <v>Commercial</v>
          </cell>
          <cell r="E100">
            <v>178139.71633070408</v>
          </cell>
          <cell r="F100">
            <v>345600.09192715923</v>
          </cell>
          <cell r="G100">
            <v>490842.43655662658</v>
          </cell>
          <cell r="H100">
            <v>642981.84108287073</v>
          </cell>
          <cell r="I100">
            <v>777382.90642516315</v>
          </cell>
          <cell r="J100">
            <v>906224.33986561501</v>
          </cell>
          <cell r="K100">
            <v>1012064.6894614862</v>
          </cell>
          <cell r="L100">
            <v>1130939.3539857825</v>
          </cell>
          <cell r="M100">
            <v>1241921.4603252506</v>
          </cell>
          <cell r="N100">
            <v>1360568.122122894</v>
          </cell>
          <cell r="O100">
            <v>1501800.898439965</v>
          </cell>
          <cell r="P100">
            <v>1669661.2645905153</v>
          </cell>
          <cell r="T100">
            <v>97</v>
          </cell>
          <cell r="U100" t="str">
            <v>Commercial</v>
          </cell>
          <cell r="X100">
            <v>190995.81263998442</v>
          </cell>
          <cell r="Y100">
            <v>364615.93144415226</v>
          </cell>
          <cell r="Z100">
            <v>521513.97409679613</v>
          </cell>
          <cell r="AA100">
            <v>679016.94420099317</v>
          </cell>
          <cell r="AB100">
            <v>813795.50102249475</v>
          </cell>
          <cell r="AC100">
            <v>942384.45807770942</v>
          </cell>
          <cell r="AD100">
            <v>1050346.7718375693</v>
          </cell>
          <cell r="AE100">
            <v>1160068.8479890933</v>
          </cell>
          <cell r="AF100">
            <v>1270644.1717791411</v>
          </cell>
          <cell r="AG100">
            <v>1373839.8328503261</v>
          </cell>
          <cell r="AH100">
            <v>1511567.5930996202</v>
          </cell>
          <cell r="AI100">
            <v>1676967.2903437531</v>
          </cell>
        </row>
        <row r="101">
          <cell r="A101">
            <v>98</v>
          </cell>
          <cell r="B101" t="str">
            <v xml:space="preserve">Industrial </v>
          </cell>
          <cell r="E101">
            <v>472789.75557503139</v>
          </cell>
          <cell r="F101">
            <v>896465.11442204658</v>
          </cell>
          <cell r="G101">
            <v>1311946.1096504037</v>
          </cell>
          <cell r="H101">
            <v>1727144.020839419</v>
          </cell>
          <cell r="I101">
            <v>2129131.5580874467</v>
          </cell>
          <cell r="J101">
            <v>2506583.9497516789</v>
          </cell>
          <cell r="K101">
            <v>2865884.3850423596</v>
          </cell>
          <cell r="L101">
            <v>3234753.2943811463</v>
          </cell>
          <cell r="M101">
            <v>3591751.9057357088</v>
          </cell>
          <cell r="N101">
            <v>3974321.8463336248</v>
          </cell>
          <cell r="O101">
            <v>4388349.007693056</v>
          </cell>
          <cell r="P101">
            <v>4838587.8264680095</v>
          </cell>
          <cell r="T101">
            <v>98</v>
          </cell>
          <cell r="U101" t="str">
            <v xml:space="preserve">Industrial </v>
          </cell>
          <cell r="X101">
            <v>448369.94838835328</v>
          </cell>
          <cell r="Y101">
            <v>856946.1486025902</v>
          </cell>
          <cell r="Z101">
            <v>1270357.1915473754</v>
          </cell>
          <cell r="AA101">
            <v>1691703.2817216865</v>
          </cell>
          <cell r="AB101">
            <v>2091867.7573278798</v>
          </cell>
          <cell r="AC101">
            <v>2483669.003797838</v>
          </cell>
          <cell r="AD101">
            <v>2850839.6143733566</v>
          </cell>
          <cell r="AE101">
            <v>3219243.0616418347</v>
          </cell>
          <cell r="AF101">
            <v>3584358.4574934267</v>
          </cell>
          <cell r="AG101">
            <v>3950820.8574934267</v>
          </cell>
          <cell r="AH101">
            <v>4348723.4965040414</v>
          </cell>
          <cell r="AI101">
            <v>4772613.4965040414</v>
          </cell>
        </row>
        <row r="102">
          <cell r="A102">
            <v>99</v>
          </cell>
          <cell r="B102" t="str">
            <v>Other</v>
          </cell>
          <cell r="E102">
            <v>220015.97078586035</v>
          </cell>
          <cell r="F102">
            <v>320882.44600253191</v>
          </cell>
          <cell r="G102">
            <v>540842.44132826955</v>
          </cell>
          <cell r="H102">
            <v>737436.93056772812</v>
          </cell>
          <cell r="I102">
            <v>942111.84146460216</v>
          </cell>
          <cell r="J102">
            <v>1158303.7501217255</v>
          </cell>
          <cell r="K102">
            <v>1350130.8513974096</v>
          </cell>
          <cell r="L102">
            <v>1544285.6480669978</v>
          </cell>
          <cell r="M102">
            <v>1726291.7258739898</v>
          </cell>
          <cell r="N102">
            <v>1977068.0299931834</v>
          </cell>
          <cell r="O102">
            <v>2223846.6059012562</v>
          </cell>
          <cell r="P102">
            <v>2507473.7423312883</v>
          </cell>
          <cell r="T102">
            <v>99</v>
          </cell>
          <cell r="U102" t="str">
            <v>Other</v>
          </cell>
          <cell r="X102">
            <v>194736.14383094752</v>
          </cell>
          <cell r="Y102">
            <v>296391.47054240922</v>
          </cell>
          <cell r="Z102">
            <v>506871.36147628789</v>
          </cell>
          <cell r="AA102">
            <v>672480.37890739122</v>
          </cell>
          <cell r="AB102">
            <v>837601.52020644664</v>
          </cell>
          <cell r="AC102">
            <v>958852.96903301205</v>
          </cell>
          <cell r="AD102">
            <v>1087361.7470055507</v>
          </cell>
          <cell r="AE102">
            <v>1241734.9260882267</v>
          </cell>
          <cell r="AF102">
            <v>1382433.8773006136</v>
          </cell>
          <cell r="AG102">
            <v>1595206.1344678157</v>
          </cell>
          <cell r="AH102">
            <v>1799085.1704012076</v>
          </cell>
          <cell r="AI102">
            <v>2277547.9507108778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1063016.5771740221</v>
          </cell>
          <cell r="F103">
            <v>1921589.0351543515</v>
          </cell>
          <cell r="G103">
            <v>2835719.5024832063</v>
          </cell>
          <cell r="H103">
            <v>3726306.4376356089</v>
          </cell>
          <cell r="I103">
            <v>4568676.0724588679</v>
          </cell>
          <cell r="J103">
            <v>5371921.5199221103</v>
          </cell>
          <cell r="K103">
            <v>6095415.8945447635</v>
          </cell>
          <cell r="L103">
            <v>6845596.5340422811</v>
          </cell>
          <cell r="M103">
            <v>7569676.621003041</v>
          </cell>
          <cell r="N103">
            <v>8399262.4070581608</v>
          </cell>
          <cell r="O103">
            <v>9305255.9659246542</v>
          </cell>
          <cell r="P103">
            <v>10371632.535600383</v>
          </cell>
          <cell r="T103">
            <v>100</v>
          </cell>
          <cell r="U103" t="str">
            <v>Total Deliveries</v>
          </cell>
          <cell r="X103">
            <v>1050860.7908267602</v>
          </cell>
          <cell r="Y103">
            <v>1887659.1694420099</v>
          </cell>
          <cell r="Z103">
            <v>2808102.4453208684</v>
          </cell>
          <cell r="AA103">
            <v>3688560.7177914111</v>
          </cell>
          <cell r="AB103">
            <v>4486919.6621871646</v>
          </cell>
          <cell r="AC103">
            <v>5214924.5436751386</v>
          </cell>
          <cell r="AD103">
            <v>5888291.9252118021</v>
          </cell>
          <cell r="AE103">
            <v>6587171.9696172951</v>
          </cell>
          <cell r="AF103">
            <v>7276056.0410945565</v>
          </cell>
          <cell r="AG103">
            <v>8025273.2198714577</v>
          </cell>
          <cell r="AH103">
            <v>8863996.8248962928</v>
          </cell>
          <cell r="AI103">
            <v>10084402.916239168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- 2019 -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- 2018 -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197238</v>
          </cell>
          <cell r="F107">
            <v>368289</v>
          </cell>
          <cell r="G107">
            <v>505326</v>
          </cell>
          <cell r="H107">
            <v>635388</v>
          </cell>
          <cell r="I107">
            <v>739419</v>
          </cell>
          <cell r="J107">
            <v>822351</v>
          </cell>
          <cell r="K107">
            <v>890667</v>
          </cell>
          <cell r="L107">
            <v>960786</v>
          </cell>
          <cell r="M107">
            <v>1036872</v>
          </cell>
          <cell r="N107">
            <v>1116552</v>
          </cell>
          <cell r="O107">
            <v>1223303</v>
          </cell>
          <cell r="P107">
            <v>1392382</v>
          </cell>
          <cell r="T107">
            <v>104</v>
          </cell>
          <cell r="U107" t="str">
            <v>Residential</v>
          </cell>
          <cell r="X107">
            <v>222590</v>
          </cell>
          <cell r="Y107">
            <v>379651</v>
          </cell>
          <cell r="Z107">
            <v>523062</v>
          </cell>
          <cell r="AA107">
            <v>662721</v>
          </cell>
          <cell r="AB107">
            <v>763660</v>
          </cell>
          <cell r="AC107">
            <v>852346</v>
          </cell>
          <cell r="AD107">
            <v>923947</v>
          </cell>
          <cell r="AE107">
            <v>992114</v>
          </cell>
          <cell r="AF107">
            <v>1066559</v>
          </cell>
          <cell r="AG107">
            <v>1135142</v>
          </cell>
          <cell r="AH107">
            <v>1237025</v>
          </cell>
          <cell r="AI107">
            <v>1393785</v>
          </cell>
        </row>
        <row r="108">
          <cell r="A108">
            <v>105</v>
          </cell>
          <cell r="B108" t="str">
            <v>Commercial</v>
          </cell>
          <cell r="E108">
            <v>182932</v>
          </cell>
          <cell r="F108">
            <v>354897</v>
          </cell>
          <cell r="G108">
            <v>504046</v>
          </cell>
          <cell r="H108">
            <v>660278</v>
          </cell>
          <cell r="I108">
            <v>798294</v>
          </cell>
          <cell r="J108">
            <v>930601</v>
          </cell>
          <cell r="K108">
            <v>1039288</v>
          </cell>
          <cell r="L108">
            <v>1161360</v>
          </cell>
          <cell r="M108">
            <v>1275328</v>
          </cell>
          <cell r="N108">
            <v>1397166</v>
          </cell>
          <cell r="O108">
            <v>1542198</v>
          </cell>
          <cell r="P108">
            <v>1714574</v>
          </cell>
          <cell r="T108">
            <v>105</v>
          </cell>
          <cell r="U108" t="str">
            <v>Commercial</v>
          </cell>
          <cell r="X108">
            <v>196134</v>
          </cell>
          <cell r="Y108">
            <v>374425</v>
          </cell>
          <cell r="Z108">
            <v>535544</v>
          </cell>
          <cell r="AA108">
            <v>697284</v>
          </cell>
          <cell r="AB108">
            <v>835688</v>
          </cell>
          <cell r="AC108">
            <v>967736</v>
          </cell>
          <cell r="AD108">
            <v>1078603</v>
          </cell>
          <cell r="AE108">
            <v>1191277</v>
          </cell>
          <cell r="AF108">
            <v>1304827</v>
          </cell>
          <cell r="AG108">
            <v>1410799</v>
          </cell>
          <cell r="AH108">
            <v>1552232</v>
          </cell>
          <cell r="AI108">
            <v>1722081</v>
          </cell>
        </row>
        <row r="109">
          <cell r="A109">
            <v>106</v>
          </cell>
          <cell r="B109" t="str">
            <v xml:space="preserve">Industrial </v>
          </cell>
          <cell r="E109">
            <v>485508</v>
          </cell>
          <cell r="F109">
            <v>920580</v>
          </cell>
          <cell r="G109">
            <v>1347237</v>
          </cell>
          <cell r="H109">
            <v>1773604</v>
          </cell>
          <cell r="I109">
            <v>2186405</v>
          </cell>
          <cell r="J109">
            <v>2574011</v>
          </cell>
          <cell r="K109">
            <v>2942977</v>
          </cell>
          <cell r="L109">
            <v>3321768</v>
          </cell>
          <cell r="M109">
            <v>3688370</v>
          </cell>
          <cell r="N109">
            <v>4081231</v>
          </cell>
          <cell r="O109">
            <v>4506395</v>
          </cell>
          <cell r="P109">
            <v>4968745</v>
          </cell>
          <cell r="T109">
            <v>106</v>
          </cell>
          <cell r="U109" t="str">
            <v xml:space="preserve">Industrial </v>
          </cell>
          <cell r="X109">
            <v>460431</v>
          </cell>
          <cell r="Y109">
            <v>879998</v>
          </cell>
          <cell r="Z109">
            <v>1304530</v>
          </cell>
          <cell r="AA109">
            <v>1737210</v>
          </cell>
          <cell r="AB109">
            <v>2148139</v>
          </cell>
          <cell r="AC109">
            <v>2550480</v>
          </cell>
          <cell r="AD109">
            <v>2927528</v>
          </cell>
          <cell r="AE109">
            <v>3305842</v>
          </cell>
          <cell r="AF109">
            <v>3680779</v>
          </cell>
          <cell r="AG109">
            <v>4057099</v>
          </cell>
          <cell r="AH109">
            <v>4465705</v>
          </cell>
          <cell r="AI109">
            <v>4900998</v>
          </cell>
        </row>
        <row r="110">
          <cell r="A110">
            <v>107</v>
          </cell>
          <cell r="B110" t="str">
            <v>Other</v>
          </cell>
          <cell r="E110">
            <v>225934</v>
          </cell>
          <cell r="F110">
            <v>329514</v>
          </cell>
          <cell r="G110">
            <v>555391</v>
          </cell>
          <cell r="H110">
            <v>757274</v>
          </cell>
          <cell r="I110">
            <v>967455</v>
          </cell>
          <cell r="J110">
            <v>1189462</v>
          </cell>
          <cell r="K110">
            <v>1386449</v>
          </cell>
          <cell r="L110">
            <v>1585827</v>
          </cell>
          <cell r="M110">
            <v>1772729</v>
          </cell>
          <cell r="N110">
            <v>2030251</v>
          </cell>
          <cell r="O110">
            <v>2283668</v>
          </cell>
          <cell r="P110">
            <v>2574925</v>
          </cell>
          <cell r="T110">
            <v>107</v>
          </cell>
          <cell r="U110" t="str">
            <v>Other</v>
          </cell>
          <cell r="X110">
            <v>199975</v>
          </cell>
          <cell r="Y110">
            <v>304365</v>
          </cell>
          <cell r="Z110">
            <v>520507</v>
          </cell>
          <cell r="AA110">
            <v>690571</v>
          </cell>
          <cell r="AB110">
            <v>860134</v>
          </cell>
          <cell r="AC110">
            <v>984647</v>
          </cell>
          <cell r="AD110">
            <v>1116613</v>
          </cell>
          <cell r="AE110">
            <v>1275139</v>
          </cell>
          <cell r="AF110">
            <v>1419623</v>
          </cell>
          <cell r="AG110">
            <v>1638119</v>
          </cell>
          <cell r="AH110">
            <v>1847482</v>
          </cell>
          <cell r="AI110">
            <v>2338815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1091612</v>
          </cell>
          <cell r="F111">
            <v>1973280</v>
          </cell>
          <cell r="G111">
            <v>2912000</v>
          </cell>
          <cell r="H111">
            <v>3826544</v>
          </cell>
          <cell r="I111">
            <v>4691573</v>
          </cell>
          <cell r="J111">
            <v>5516425</v>
          </cell>
          <cell r="K111">
            <v>6259381</v>
          </cell>
          <cell r="L111">
            <v>7029741</v>
          </cell>
          <cell r="M111">
            <v>7773299</v>
          </cell>
          <cell r="N111">
            <v>8625200</v>
          </cell>
          <cell r="O111">
            <v>9555564</v>
          </cell>
          <cell r="P111">
            <v>10650626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1079130</v>
          </cell>
          <cell r="Y111">
            <v>1938439</v>
          </cell>
          <cell r="Z111">
            <v>2883643</v>
          </cell>
          <cell r="AA111">
            <v>3787786</v>
          </cell>
          <cell r="AB111">
            <v>4607621</v>
          </cell>
          <cell r="AC111">
            <v>5355209</v>
          </cell>
          <cell r="AD111">
            <v>6046691</v>
          </cell>
          <cell r="AE111">
            <v>6764372</v>
          </cell>
          <cell r="AF111">
            <v>7471788</v>
          </cell>
          <cell r="AG111">
            <v>8241159</v>
          </cell>
          <cell r="AH111">
            <v>9102444</v>
          </cell>
          <cell r="AI111">
            <v>10355679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E114">
            <v>62363</v>
          </cell>
          <cell r="F114">
            <v>62416</v>
          </cell>
          <cell r="G114">
            <v>62511</v>
          </cell>
          <cell r="H114">
            <v>62593</v>
          </cell>
          <cell r="I114">
            <v>62631</v>
          </cell>
          <cell r="J114">
            <v>62657</v>
          </cell>
          <cell r="K114">
            <v>62681</v>
          </cell>
          <cell r="L114">
            <v>62712</v>
          </cell>
          <cell r="M114">
            <v>62743</v>
          </cell>
          <cell r="N114">
            <v>62765</v>
          </cell>
          <cell r="O114">
            <v>62797</v>
          </cell>
          <cell r="P114">
            <v>62845</v>
          </cell>
          <cell r="T114">
            <v>111</v>
          </cell>
          <cell r="U114" t="str">
            <v xml:space="preserve">Customers </v>
          </cell>
          <cell r="X114">
            <v>59166</v>
          </cell>
          <cell r="Y114">
            <v>59250</v>
          </cell>
          <cell r="Z114">
            <v>59380</v>
          </cell>
          <cell r="AA114">
            <v>59497</v>
          </cell>
          <cell r="AB114">
            <v>59530</v>
          </cell>
          <cell r="AC114">
            <v>59572</v>
          </cell>
          <cell r="AD114">
            <v>59597</v>
          </cell>
          <cell r="AE114">
            <v>59604</v>
          </cell>
          <cell r="AF114">
            <v>59618</v>
          </cell>
          <cell r="AG114">
            <v>59638</v>
          </cell>
          <cell r="AH114">
            <v>59674</v>
          </cell>
          <cell r="AI114">
            <v>59731</v>
          </cell>
        </row>
        <row r="115">
          <cell r="A115">
            <v>112</v>
          </cell>
          <cell r="B115" t="str">
            <v>Volume (mcfs)</v>
          </cell>
          <cell r="E115">
            <v>1003551.4655760054</v>
          </cell>
          <cell r="F115">
            <v>1948797.740773201</v>
          </cell>
          <cell r="G115">
            <v>2884171.8765215697</v>
          </cell>
          <cell r="H115">
            <v>3766689.3563151229</v>
          </cell>
          <cell r="I115">
            <v>4570652.6438796371</v>
          </cell>
          <cell r="J115">
            <v>5357104.9761417853</v>
          </cell>
          <cell r="K115">
            <v>6100147.2392638028</v>
          </cell>
          <cell r="L115">
            <v>6828440.6466062898</v>
          </cell>
          <cell r="M115">
            <v>7546691.2065439662</v>
          </cell>
          <cell r="N115">
            <v>8306756.9383581644</v>
          </cell>
          <cell r="O115">
            <v>9124942.156003505</v>
          </cell>
          <cell r="P115">
            <v>10038411.335086182</v>
          </cell>
          <cell r="T115">
            <v>112</v>
          </cell>
          <cell r="U115" t="str">
            <v>Volume (mcfs)</v>
          </cell>
          <cell r="X115">
            <v>910995</v>
          </cell>
          <cell r="Y115">
            <v>1741689</v>
          </cell>
          <cell r="Z115">
            <v>2498021</v>
          </cell>
          <cell r="AA115">
            <v>3247808</v>
          </cell>
          <cell r="AB115">
            <v>3897362</v>
          </cell>
          <cell r="AC115">
            <v>4456408</v>
          </cell>
          <cell r="AD115">
            <v>5023505</v>
          </cell>
          <cell r="AE115">
            <v>5559090</v>
          </cell>
          <cell r="AF115">
            <v>6104287.7800000003</v>
          </cell>
          <cell r="AG115">
            <v>6693154.3399999999</v>
          </cell>
          <cell r="AH115">
            <v>7376034.5700000003</v>
          </cell>
          <cell r="AI115">
            <v>8163554.6300000008</v>
          </cell>
        </row>
        <row r="116">
          <cell r="A116">
            <v>113</v>
          </cell>
          <cell r="B116" t="str">
            <v>Volume (dts)</v>
          </cell>
          <cell r="E116">
            <v>1030547</v>
          </cell>
          <cell r="F116">
            <v>2001220</v>
          </cell>
          <cell r="G116">
            <v>2961756</v>
          </cell>
          <cell r="H116">
            <v>3868013</v>
          </cell>
          <cell r="I116">
            <v>4693603</v>
          </cell>
          <cell r="J116">
            <v>5501211</v>
          </cell>
          <cell r="K116">
            <v>6264241</v>
          </cell>
          <cell r="L116">
            <v>7012126</v>
          </cell>
          <cell r="M116">
            <v>7749698</v>
          </cell>
          <cell r="N116">
            <v>8530210</v>
          </cell>
          <cell r="O116">
            <v>9370404</v>
          </cell>
          <cell r="P116">
            <v>10308446</v>
          </cell>
          <cell r="T116">
            <v>113</v>
          </cell>
          <cell r="U116" t="str">
            <v>Volume (dts)</v>
          </cell>
          <cell r="X116">
            <v>935501</v>
          </cell>
          <cell r="Y116">
            <v>1788541</v>
          </cell>
          <cell r="Z116">
            <v>2565218</v>
          </cell>
          <cell r="AA116">
            <v>3335174</v>
          </cell>
          <cell r="AB116">
            <v>4002201</v>
          </cell>
          <cell r="AC116">
            <v>4576285</v>
          </cell>
          <cell r="AD116">
            <v>5158637</v>
          </cell>
          <cell r="AE116">
            <v>5708629</v>
          </cell>
          <cell r="AF116">
            <v>6268493</v>
          </cell>
          <cell r="AG116">
            <v>6873200</v>
          </cell>
          <cell r="AH116">
            <v>7574450</v>
          </cell>
          <cell r="AI116">
            <v>8383154</v>
          </cell>
        </row>
      </sheetData>
      <sheetData sheetId="16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16</v>
          </cell>
          <cell r="D7">
            <v>188</v>
          </cell>
          <cell r="E7">
            <v>17</v>
          </cell>
          <cell r="F7">
            <v>17</v>
          </cell>
          <cell r="G7">
            <v>17</v>
          </cell>
          <cell r="H7">
            <v>17</v>
          </cell>
          <cell r="I7">
            <v>15</v>
          </cell>
          <cell r="J7">
            <v>15</v>
          </cell>
          <cell r="K7">
            <v>16</v>
          </cell>
          <cell r="L7">
            <v>14</v>
          </cell>
          <cell r="M7">
            <v>15</v>
          </cell>
          <cell r="N7">
            <v>16</v>
          </cell>
          <cell r="O7">
            <v>14</v>
          </cell>
          <cell r="P7">
            <v>15</v>
          </cell>
          <cell r="T7">
            <v>4</v>
          </cell>
          <cell r="U7" t="str">
            <v>Interruptible transporation</v>
          </cell>
          <cell r="V7">
            <v>17</v>
          </cell>
          <cell r="W7">
            <v>207</v>
          </cell>
          <cell r="X7">
            <v>17</v>
          </cell>
          <cell r="Y7">
            <v>16</v>
          </cell>
          <cell r="Z7">
            <v>17</v>
          </cell>
          <cell r="AA7">
            <v>16</v>
          </cell>
          <cell r="AB7">
            <v>16</v>
          </cell>
          <cell r="AC7">
            <v>18</v>
          </cell>
          <cell r="AD7">
            <v>18</v>
          </cell>
          <cell r="AE7">
            <v>18</v>
          </cell>
          <cell r="AF7">
            <v>18</v>
          </cell>
          <cell r="AG7">
            <v>18</v>
          </cell>
          <cell r="AH7">
            <v>18</v>
          </cell>
          <cell r="AI7">
            <v>17</v>
          </cell>
        </row>
        <row r="8">
          <cell r="A8">
            <v>5</v>
          </cell>
          <cell r="B8" t="str">
            <v>Less: ESNG to DE, MD &amp; SP</v>
          </cell>
          <cell r="C8">
            <v>-3</v>
          </cell>
          <cell r="D8">
            <v>-36</v>
          </cell>
          <cell r="E8">
            <v>-3</v>
          </cell>
          <cell r="F8">
            <v>-3</v>
          </cell>
          <cell r="G8">
            <v>-3</v>
          </cell>
          <cell r="H8">
            <v>-3</v>
          </cell>
          <cell r="I8">
            <v>-3</v>
          </cell>
          <cell r="J8">
            <v>-3</v>
          </cell>
          <cell r="K8">
            <v>-3</v>
          </cell>
          <cell r="L8">
            <v>-3</v>
          </cell>
          <cell r="M8">
            <v>-3</v>
          </cell>
          <cell r="N8">
            <v>-3</v>
          </cell>
          <cell r="O8">
            <v>-3</v>
          </cell>
          <cell r="P8">
            <v>-3</v>
          </cell>
          <cell r="T8">
            <v>5</v>
          </cell>
          <cell r="U8" t="str">
            <v>Less: ESNG to DE, MD &amp; SP</v>
          </cell>
          <cell r="V8">
            <v>-3</v>
          </cell>
          <cell r="W8">
            <v>-36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-3</v>
          </cell>
          <cell r="AF8">
            <v>-3</v>
          </cell>
          <cell r="AG8">
            <v>-3</v>
          </cell>
          <cell r="AH8">
            <v>-3</v>
          </cell>
          <cell r="AI8">
            <v>-3</v>
          </cell>
        </row>
        <row r="9">
          <cell r="A9">
            <v>6</v>
          </cell>
          <cell r="B9" t="str">
            <v>Total customers</v>
          </cell>
          <cell r="C9">
            <v>13</v>
          </cell>
          <cell r="D9">
            <v>152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12</v>
          </cell>
          <cell r="J9">
            <v>12</v>
          </cell>
          <cell r="K9">
            <v>13</v>
          </cell>
          <cell r="L9">
            <v>11</v>
          </cell>
          <cell r="M9">
            <v>12</v>
          </cell>
          <cell r="N9">
            <v>13</v>
          </cell>
          <cell r="O9">
            <v>11</v>
          </cell>
          <cell r="P9">
            <v>12</v>
          </cell>
          <cell r="T9">
            <v>6</v>
          </cell>
          <cell r="U9" t="str">
            <v>Total customers</v>
          </cell>
          <cell r="V9">
            <v>14</v>
          </cell>
          <cell r="W9">
            <v>171</v>
          </cell>
          <cell r="X9">
            <v>14</v>
          </cell>
          <cell r="Y9">
            <v>13</v>
          </cell>
          <cell r="Z9">
            <v>14</v>
          </cell>
          <cell r="AA9">
            <v>13</v>
          </cell>
          <cell r="AB9">
            <v>13</v>
          </cell>
          <cell r="AC9">
            <v>15</v>
          </cell>
          <cell r="AD9">
            <v>15</v>
          </cell>
          <cell r="AE9">
            <v>15</v>
          </cell>
          <cell r="AF9">
            <v>15</v>
          </cell>
          <cell r="AG9">
            <v>15</v>
          </cell>
          <cell r="AH9">
            <v>15</v>
          </cell>
          <cell r="AI9">
            <v>14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(2018)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- 2017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11</v>
          </cell>
          <cell r="B14" t="str">
            <v>Transportation firm</v>
          </cell>
          <cell r="D14">
            <v>56925329.472958371</v>
          </cell>
          <cell r="E14">
            <v>5683906.7201076737</v>
          </cell>
          <cell r="F14">
            <v>5060114.7645505061</v>
          </cell>
          <cell r="G14">
            <v>5354586.4205762679</v>
          </cell>
          <cell r="H14">
            <v>3917944.4352078852</v>
          </cell>
          <cell r="I14">
            <v>4423232.9327124339</v>
          </cell>
          <cell r="J14">
            <v>4460349.957215474</v>
          </cell>
          <cell r="K14">
            <v>4560984.6408340307</v>
          </cell>
          <cell r="L14">
            <v>4517442.8395373579</v>
          </cell>
          <cell r="M14">
            <v>4101162.6305443109</v>
          </cell>
          <cell r="N14">
            <v>4174692.7643467202</v>
          </cell>
          <cell r="O14">
            <v>5265836.6380472025</v>
          </cell>
          <cell r="P14">
            <v>5405074.7292785114</v>
          </cell>
          <cell r="T14">
            <v>11</v>
          </cell>
          <cell r="U14" t="str">
            <v>Transportation firm</v>
          </cell>
          <cell r="X14">
            <v>5122614</v>
          </cell>
          <cell r="Y14">
            <v>4447121</v>
          </cell>
          <cell r="Z14">
            <v>4925992</v>
          </cell>
          <cell r="AA14">
            <v>2823107</v>
          </cell>
          <cell r="AB14">
            <v>3886464</v>
          </cell>
          <cell r="AC14">
            <v>3825043</v>
          </cell>
          <cell r="AD14">
            <v>3904214</v>
          </cell>
          <cell r="AE14">
            <v>4010738</v>
          </cell>
          <cell r="AF14">
            <v>4091180</v>
          </cell>
          <cell r="AG14">
            <v>4085739</v>
          </cell>
          <cell r="AH14">
            <v>3880900</v>
          </cell>
          <cell r="AI14">
            <v>5293304</v>
          </cell>
        </row>
        <row r="15">
          <cell r="A15">
            <v>12</v>
          </cell>
          <cell r="B15" t="str">
            <v>Interruptible transportation</v>
          </cell>
          <cell r="D15">
            <v>597710.22637323232</v>
          </cell>
          <cell r="E15">
            <v>23466.434880499619</v>
          </cell>
          <cell r="F15">
            <v>48846.36219385334</v>
          </cell>
          <cell r="G15">
            <v>101510.37054590354</v>
          </cell>
          <cell r="H15">
            <v>24082.433249307338</v>
          </cell>
          <cell r="I15">
            <v>23589.767278039373</v>
          </cell>
          <cell r="J15">
            <v>25820.870956284707</v>
          </cell>
          <cell r="K15">
            <v>62476.316877771038</v>
          </cell>
          <cell r="L15">
            <v>36028.122871074163</v>
          </cell>
          <cell r="M15">
            <v>26659.308123581144</v>
          </cell>
          <cell r="N15">
            <v>82373.487383118714</v>
          </cell>
          <cell r="O15">
            <v>114962.65352481422</v>
          </cell>
          <cell r="P15">
            <v>27894.098488985102</v>
          </cell>
          <cell r="T15">
            <v>12</v>
          </cell>
          <cell r="U15" t="str">
            <v>Interruptible transporation</v>
          </cell>
          <cell r="X15">
            <v>142031</v>
          </cell>
          <cell r="Y15">
            <v>66447</v>
          </cell>
          <cell r="Z15">
            <v>25037</v>
          </cell>
          <cell r="AA15">
            <v>26041</v>
          </cell>
          <cell r="AB15">
            <v>72552</v>
          </cell>
          <cell r="AC15">
            <v>81262</v>
          </cell>
          <cell r="AD15">
            <v>90847</v>
          </cell>
          <cell r="AE15">
            <v>136911</v>
          </cell>
          <cell r="AF15">
            <v>465001</v>
          </cell>
          <cell r="AG15">
            <v>96565</v>
          </cell>
          <cell r="AH15">
            <v>49723</v>
          </cell>
          <cell r="AI15">
            <v>91903</v>
          </cell>
        </row>
        <row r="16">
          <cell r="A16">
            <v>13</v>
          </cell>
          <cell r="B16" t="str">
            <v>Less: ESNG to DE, MD &amp; SP</v>
          </cell>
          <cell r="D16">
            <v>-12980530.216464523</v>
          </cell>
          <cell r="E16">
            <v>-1984175.4248588751</v>
          </cell>
          <cell r="F16">
            <v>-1606039.2807321155</v>
          </cell>
          <cell r="G16">
            <v>-1535558.4188071499</v>
          </cell>
          <cell r="H16">
            <v>-833363.285413209</v>
          </cell>
          <cell r="I16">
            <v>-680677.33128548018</v>
          </cell>
          <cell r="J16">
            <v>-608699.16750647547</v>
          </cell>
          <cell r="K16">
            <v>-605464.67007126566</v>
          </cell>
          <cell r="L16">
            <v>-619206.45126721321</v>
          </cell>
          <cell r="M16">
            <v>-662887.22647457407</v>
          </cell>
          <cell r="N16">
            <v>-778064.25430139538</v>
          </cell>
          <cell r="O16">
            <v>-1385202.903014669</v>
          </cell>
          <cell r="P16">
            <v>-1681191.8027321005</v>
          </cell>
          <cell r="T16">
            <v>13</v>
          </cell>
          <cell r="U16" t="str">
            <v>Less: ESNG to DE, MD and SP</v>
          </cell>
          <cell r="X16">
            <v>-1569792</v>
          </cell>
          <cell r="Y16">
            <v>-1205900</v>
          </cell>
          <cell r="Z16">
            <v>-1391398</v>
          </cell>
          <cell r="AA16">
            <v>-720462</v>
          </cell>
          <cell r="AB16">
            <v>-662446</v>
          </cell>
          <cell r="AC16">
            <v>-554613</v>
          </cell>
          <cell r="AD16">
            <v>-516867</v>
          </cell>
          <cell r="AE16">
            <v>-580117</v>
          </cell>
          <cell r="AF16">
            <v>-612571</v>
          </cell>
          <cell r="AG16">
            <v>-721278</v>
          </cell>
          <cell r="AH16">
            <v>-1128586</v>
          </cell>
          <cell r="AI16">
            <v>-1709322</v>
          </cell>
        </row>
        <row r="17">
          <cell r="A17">
            <v>14</v>
          </cell>
          <cell r="B17" t="str">
            <v>Total Deliveries</v>
          </cell>
          <cell r="D17">
            <v>44542509.482867077</v>
          </cell>
          <cell r="E17">
            <v>3723197.7301292983</v>
          </cell>
          <cell r="F17">
            <v>3502921.846012244</v>
          </cell>
          <cell r="G17">
            <v>3920538.3723150212</v>
          </cell>
          <cell r="H17">
            <v>3108663.5830439837</v>
          </cell>
          <cell r="I17">
            <v>3766145.3687049933</v>
          </cell>
          <cell r="J17">
            <v>3877471.6606652834</v>
          </cell>
          <cell r="K17">
            <v>4017996.2876405362</v>
          </cell>
          <cell r="L17">
            <v>3934264.5111412187</v>
          </cell>
          <cell r="M17">
            <v>3464934.7121933177</v>
          </cell>
          <cell r="N17">
            <v>3479001.9974284433</v>
          </cell>
          <cell r="O17">
            <v>3995596.3885573475</v>
          </cell>
          <cell r="P17">
            <v>3751777.0250353962</v>
          </cell>
          <cell r="T17">
            <v>14</v>
          </cell>
          <cell r="U17" t="str">
            <v>Total Deliveries</v>
          </cell>
          <cell r="X17">
            <v>3694853</v>
          </cell>
          <cell r="Y17">
            <v>3307668</v>
          </cell>
          <cell r="Z17">
            <v>3559631</v>
          </cell>
          <cell r="AA17">
            <v>2128686</v>
          </cell>
          <cell r="AB17">
            <v>3296570</v>
          </cell>
          <cell r="AC17">
            <v>3351692</v>
          </cell>
          <cell r="AD17">
            <v>3478194</v>
          </cell>
          <cell r="AE17">
            <v>3567532</v>
          </cell>
          <cell r="AF17">
            <v>3943610</v>
          </cell>
          <cell r="AG17">
            <v>3461026</v>
          </cell>
          <cell r="AH17">
            <v>2802037</v>
          </cell>
          <cell r="AI17">
            <v>3675885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1.0446409999999999</v>
          </cell>
          <cell r="F20">
            <v>1.043005</v>
          </cell>
          <cell r="G20">
            <v>1.042327</v>
          </cell>
          <cell r="H20">
            <v>1.040551</v>
          </cell>
          <cell r="I20">
            <v>1.039137</v>
          </cell>
          <cell r="J20">
            <v>1.0389269999999999</v>
          </cell>
          <cell r="K20">
            <v>1.0397700000000001</v>
          </cell>
          <cell r="L20">
            <v>1.0451280000000001</v>
          </cell>
          <cell r="M20">
            <v>1.038249</v>
          </cell>
          <cell r="N20">
            <v>1.0398369999999999</v>
          </cell>
          <cell r="O20">
            <v>1.0389200000000001</v>
          </cell>
          <cell r="P20">
            <v>1.034735</v>
          </cell>
          <cell r="T20">
            <v>17</v>
          </cell>
          <cell r="X20">
            <v>1.05027</v>
          </cell>
          <cell r="Y20">
            <v>1.04891</v>
          </cell>
          <cell r="Z20">
            <v>1.04809</v>
          </cell>
          <cell r="AA20">
            <v>1.0459099999999999</v>
          </cell>
          <cell r="AB20">
            <v>1.0445599999999999</v>
          </cell>
          <cell r="AC20">
            <v>1.0474600000000001</v>
          </cell>
          <cell r="AD20">
            <v>1.04823</v>
          </cell>
          <cell r="AE20">
            <v>1.04386</v>
          </cell>
          <cell r="AF20">
            <v>1.04697</v>
          </cell>
          <cell r="AG20">
            <v>1.04914</v>
          </cell>
          <cell r="AH20">
            <v>1.0493600000000001</v>
          </cell>
          <cell r="AI20">
            <v>1.05077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59230053</v>
          </cell>
          <cell r="E22">
            <v>5937642</v>
          </cell>
          <cell r="F22">
            <v>5277725</v>
          </cell>
          <cell r="G22">
            <v>5581230</v>
          </cell>
          <cell r="H22">
            <v>4076821</v>
          </cell>
          <cell r="I22">
            <v>4596345</v>
          </cell>
          <cell r="J22">
            <v>4633978</v>
          </cell>
          <cell r="K22">
            <v>4742375</v>
          </cell>
          <cell r="L22">
            <v>4721306</v>
          </cell>
          <cell r="M22">
            <v>4258028</v>
          </cell>
          <cell r="N22">
            <v>4341000</v>
          </cell>
          <cell r="O22">
            <v>5470783</v>
          </cell>
          <cell r="P22">
            <v>5592820</v>
          </cell>
          <cell r="T22">
            <v>19</v>
          </cell>
          <cell r="U22" t="str">
            <v>Transportation firm</v>
          </cell>
          <cell r="X22">
            <v>5380127.8057800001</v>
          </cell>
          <cell r="Y22">
            <v>4664629.6881100005</v>
          </cell>
          <cell r="Z22">
            <v>5162882.9552799994</v>
          </cell>
          <cell r="AA22">
            <v>2952715.8423699997</v>
          </cell>
          <cell r="AB22">
            <v>4059644.8358399998</v>
          </cell>
          <cell r="AC22">
            <v>4006579.5407800004</v>
          </cell>
          <cell r="AD22">
            <v>4092514.2412200002</v>
          </cell>
          <cell r="AE22">
            <v>4186648.9686799999</v>
          </cell>
          <cell r="AF22">
            <v>4283342.7245999994</v>
          </cell>
          <cell r="AG22">
            <v>4286512.2144599995</v>
          </cell>
          <cell r="AH22">
            <v>4072461.2240000004</v>
          </cell>
          <cell r="AI22">
            <v>5562045.0440799994</v>
          </cell>
        </row>
        <row r="23">
          <cell r="A23">
            <v>20</v>
          </cell>
          <cell r="B23" t="str">
            <v>Interruptible transportation</v>
          </cell>
          <cell r="D23">
            <v>621915</v>
          </cell>
          <cell r="E23">
            <v>24514</v>
          </cell>
          <cell r="F23">
            <v>50947</v>
          </cell>
          <cell r="G23">
            <v>105807</v>
          </cell>
          <cell r="H23">
            <v>25059</v>
          </cell>
          <cell r="I23">
            <v>24513</v>
          </cell>
          <cell r="J23">
            <v>26826</v>
          </cell>
          <cell r="K23">
            <v>64961</v>
          </cell>
          <cell r="L23">
            <v>37654</v>
          </cell>
          <cell r="M23">
            <v>27679</v>
          </cell>
          <cell r="N23">
            <v>85655</v>
          </cell>
          <cell r="O23">
            <v>119437</v>
          </cell>
          <cell r="P23">
            <v>28863</v>
          </cell>
          <cell r="T23">
            <v>20</v>
          </cell>
          <cell r="U23" t="str">
            <v>Interruptible transportation</v>
          </cell>
          <cell r="X23">
            <v>149170.89837000001</v>
          </cell>
          <cell r="Y23">
            <v>69696.922770000005</v>
          </cell>
          <cell r="Z23">
            <v>26241.029329999998</v>
          </cell>
          <cell r="AA23">
            <v>27236.542309999997</v>
          </cell>
          <cell r="AB23">
            <v>75784.917119999998</v>
          </cell>
          <cell r="AC23">
            <v>85118.694520000005</v>
          </cell>
          <cell r="AD23">
            <v>95228.550810000001</v>
          </cell>
          <cell r="AE23">
            <v>142915.91646000001</v>
          </cell>
          <cell r="AF23">
            <v>486842.09696999996</v>
          </cell>
          <cell r="AG23">
            <v>101310.2041</v>
          </cell>
          <cell r="AH23">
            <v>52177.327280000005</v>
          </cell>
          <cell r="AI23">
            <v>96568.915309999997</v>
          </cell>
        </row>
        <row r="24">
          <cell r="A24">
            <v>21</v>
          </cell>
          <cell r="B24" t="str">
            <v>Less: ESNG to DE, MD &amp; SP</v>
          </cell>
          <cell r="D24">
            <v>-13507979</v>
          </cell>
          <cell r="E24">
            <v>-2072751</v>
          </cell>
          <cell r="F24">
            <v>-1675107</v>
          </cell>
          <cell r="G24">
            <v>-1600554</v>
          </cell>
          <cell r="H24">
            <v>-867157</v>
          </cell>
          <cell r="I24">
            <v>-707317</v>
          </cell>
          <cell r="J24">
            <v>-632394</v>
          </cell>
          <cell r="K24">
            <v>-629544</v>
          </cell>
          <cell r="L24">
            <v>-647150</v>
          </cell>
          <cell r="M24">
            <v>-688242</v>
          </cell>
          <cell r="N24">
            <v>-809060</v>
          </cell>
          <cell r="O24">
            <v>-1439115</v>
          </cell>
          <cell r="P24">
            <v>-1739588</v>
          </cell>
          <cell r="T24">
            <v>21</v>
          </cell>
          <cell r="U24" t="str">
            <v>Less: ESNG to DE, MD and SP</v>
          </cell>
          <cell r="X24">
            <v>-1648705.4438400001</v>
          </cell>
          <cell r="Y24">
            <v>-1264880.5689999999</v>
          </cell>
          <cell r="Z24">
            <v>-1458310.3298199999</v>
          </cell>
          <cell r="AA24">
            <v>-753538.41041999997</v>
          </cell>
          <cell r="AB24">
            <v>-691964.59375999996</v>
          </cell>
          <cell r="AC24">
            <v>-580934.93298000004</v>
          </cell>
          <cell r="AD24">
            <v>-541795.49540999997</v>
          </cell>
          <cell r="AE24">
            <v>-605560.93162000005</v>
          </cell>
          <cell r="AF24">
            <v>-641343.45987000002</v>
          </cell>
          <cell r="AG24">
            <v>-756721.60092</v>
          </cell>
          <cell r="AH24">
            <v>-1184293.00496</v>
          </cell>
          <cell r="AI24">
            <v>-1796104.2779399999</v>
          </cell>
        </row>
        <row r="25">
          <cell r="A25">
            <v>22</v>
          </cell>
          <cell r="B25" t="str">
            <v>Total Deliveries</v>
          </cell>
          <cell r="D25">
            <v>46343989</v>
          </cell>
          <cell r="E25">
            <v>3889405</v>
          </cell>
          <cell r="F25">
            <v>3653565</v>
          </cell>
          <cell r="G25">
            <v>4086483</v>
          </cell>
          <cell r="H25">
            <v>3234723</v>
          </cell>
          <cell r="I25">
            <v>3913541</v>
          </cell>
          <cell r="J25">
            <v>4028410</v>
          </cell>
          <cell r="K25">
            <v>4177792</v>
          </cell>
          <cell r="L25">
            <v>4111810</v>
          </cell>
          <cell r="M25">
            <v>3597465</v>
          </cell>
          <cell r="N25">
            <v>3617595</v>
          </cell>
          <cell r="O25">
            <v>4151105</v>
          </cell>
          <cell r="P25">
            <v>3882095</v>
          </cell>
          <cell r="T25">
            <v>22</v>
          </cell>
          <cell r="U25" t="str">
            <v>Total Deliveries</v>
          </cell>
          <cell r="X25">
            <v>3880593.2603099998</v>
          </cell>
          <cell r="Y25">
            <v>3469446.0418800004</v>
          </cell>
          <cell r="Z25">
            <v>3730813.6547900001</v>
          </cell>
          <cell r="AA25">
            <v>2226413.9742599996</v>
          </cell>
          <cell r="AB25">
            <v>3443465.1591999996</v>
          </cell>
          <cell r="AC25">
            <v>3510763.3023200002</v>
          </cell>
          <cell r="AD25">
            <v>3645947.2966200002</v>
          </cell>
          <cell r="AE25">
            <v>3724003.95352</v>
          </cell>
          <cell r="AF25">
            <v>4128841.3616999998</v>
          </cell>
          <cell r="AG25">
            <v>3631100.8176399991</v>
          </cell>
          <cell r="AH25">
            <v>2940345.5463200002</v>
          </cell>
          <cell r="AI25">
            <v>3862509.6814499996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62190514.009661831</v>
          </cell>
          <cell r="E29">
            <v>5297319.8067632858</v>
          </cell>
          <cell r="F29">
            <v>4803471.4975845413</v>
          </cell>
          <cell r="G29">
            <v>6047312.0772946868</v>
          </cell>
          <cell r="H29">
            <v>4215509.1787439613</v>
          </cell>
          <cell r="I29">
            <v>5475304.3478260869</v>
          </cell>
          <cell r="J29">
            <v>4696476.3285024157</v>
          </cell>
          <cell r="K29">
            <v>5151584.5410628021</v>
          </cell>
          <cell r="L29">
            <v>5452658.937198068</v>
          </cell>
          <cell r="M29">
            <v>5025822.2222222229</v>
          </cell>
          <cell r="N29">
            <v>5223084.0579710146</v>
          </cell>
          <cell r="O29">
            <v>4664700.4830917874</v>
          </cell>
          <cell r="P29">
            <v>6137270.5314009665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-12414835.748792272</v>
          </cell>
          <cell r="E30">
            <v>-1674839.6135265701</v>
          </cell>
          <cell r="F30">
            <v>-1301466.6666666667</v>
          </cell>
          <cell r="G30">
            <v>-1494527.5362318843</v>
          </cell>
          <cell r="H30">
            <v>-813378.74396135274</v>
          </cell>
          <cell r="I30">
            <v>-656681.15942028991</v>
          </cell>
          <cell r="J30">
            <v>-562522.70531400968</v>
          </cell>
          <cell r="K30">
            <v>-524480.19323671504</v>
          </cell>
          <cell r="L30">
            <v>-730763.2850241547</v>
          </cell>
          <cell r="M30">
            <v>-750591.30434782617</v>
          </cell>
          <cell r="N30">
            <v>-949766.18357487931</v>
          </cell>
          <cell r="O30">
            <v>-1235871.4975845411</v>
          </cell>
          <cell r="P30">
            <v>-1719946.8599033817</v>
          </cell>
          <cell r="T30">
            <v>27</v>
          </cell>
        </row>
        <row r="31">
          <cell r="A31">
            <v>28</v>
          </cell>
          <cell r="D31">
            <v>49775678.260869563</v>
          </cell>
          <cell r="E31">
            <v>3622480.1932367156</v>
          </cell>
          <cell r="F31">
            <v>3502004.8309178744</v>
          </cell>
          <cell r="G31">
            <v>4552784.5410628021</v>
          </cell>
          <cell r="H31">
            <v>3402130.4347826084</v>
          </cell>
          <cell r="I31">
            <v>4818623.1884057969</v>
          </cell>
          <cell r="J31">
            <v>4133953.6231884062</v>
          </cell>
          <cell r="K31">
            <v>4627104.3478260869</v>
          </cell>
          <cell r="L31">
            <v>4721895.6521739131</v>
          </cell>
          <cell r="M31">
            <v>4275230.9178743968</v>
          </cell>
          <cell r="N31">
            <v>4273317.8743961351</v>
          </cell>
          <cell r="O31">
            <v>3428828.9855072461</v>
          </cell>
          <cell r="P31">
            <v>4417323.6714975853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*1.035</v>
          </cell>
          <cell r="C33">
            <v>1.0349999999999999</v>
          </cell>
          <cell r="D33">
            <v>64367181.999999993</v>
          </cell>
          <cell r="E33">
            <v>5482726</v>
          </cell>
          <cell r="F33">
            <v>4971593</v>
          </cell>
          <cell r="G33">
            <v>6258968</v>
          </cell>
          <cell r="H33">
            <v>4363052</v>
          </cell>
          <cell r="I33">
            <v>5666940</v>
          </cell>
          <cell r="J33">
            <v>4860853</v>
          </cell>
          <cell r="K33">
            <v>5331890</v>
          </cell>
          <cell r="L33">
            <v>5643502</v>
          </cell>
          <cell r="M33">
            <v>5201726</v>
          </cell>
          <cell r="N33">
            <v>5405892</v>
          </cell>
          <cell r="O33">
            <v>4827965</v>
          </cell>
          <cell r="P33">
            <v>6352075</v>
          </cell>
          <cell r="T33">
            <v>30</v>
          </cell>
        </row>
        <row r="34">
          <cell r="A34">
            <v>31</v>
          </cell>
          <cell r="B34" t="str">
            <v>Less Sales to DE/MD/SP</v>
          </cell>
          <cell r="D34">
            <v>-12849355</v>
          </cell>
          <cell r="E34">
            <v>-1733459</v>
          </cell>
          <cell r="F34">
            <v>-1347018</v>
          </cell>
          <cell r="G34">
            <v>-1546836</v>
          </cell>
          <cell r="H34">
            <v>-841847</v>
          </cell>
          <cell r="I34">
            <v>-679665</v>
          </cell>
          <cell r="J34">
            <v>-582211</v>
          </cell>
          <cell r="K34">
            <v>-542837</v>
          </cell>
          <cell r="L34">
            <v>-756340</v>
          </cell>
          <cell r="M34">
            <v>-776862</v>
          </cell>
          <cell r="N34">
            <v>-983008</v>
          </cell>
          <cell r="O34">
            <v>-1279127</v>
          </cell>
          <cell r="P34">
            <v>-1780145</v>
          </cell>
          <cell r="T34">
            <v>31</v>
          </cell>
        </row>
        <row r="35">
          <cell r="A35">
            <v>32</v>
          </cell>
          <cell r="D35">
            <v>51517826.999999993</v>
          </cell>
          <cell r="E35">
            <v>3749267</v>
          </cell>
          <cell r="F35">
            <v>3624575</v>
          </cell>
          <cell r="G35">
            <v>4712132</v>
          </cell>
          <cell r="H35">
            <v>3521205</v>
          </cell>
          <cell r="I35">
            <v>4987275</v>
          </cell>
          <cell r="J35">
            <v>4278642</v>
          </cell>
          <cell r="K35">
            <v>4789053</v>
          </cell>
          <cell r="L35">
            <v>4887162</v>
          </cell>
          <cell r="M35">
            <v>4424864</v>
          </cell>
          <cell r="N35">
            <v>4422884</v>
          </cell>
          <cell r="O35">
            <v>3548838</v>
          </cell>
          <cell r="P35">
            <v>4571930</v>
          </cell>
          <cell r="T35">
            <v>32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- 2016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17</v>
          </cell>
          <cell r="F43">
            <v>17</v>
          </cell>
          <cell r="G43">
            <v>17</v>
          </cell>
          <cell r="H43">
            <v>17</v>
          </cell>
          <cell r="I43">
            <v>16.600000000000001</v>
          </cell>
          <cell r="J43">
            <v>16.333333333333332</v>
          </cell>
          <cell r="K43">
            <v>16.285714285714285</v>
          </cell>
          <cell r="L43">
            <v>16</v>
          </cell>
          <cell r="M43">
            <v>15.888888888888889</v>
          </cell>
          <cell r="N43">
            <v>15.9</v>
          </cell>
          <cell r="O43">
            <v>15.727272727272727</v>
          </cell>
          <cell r="P43">
            <v>15.666666666666666</v>
          </cell>
          <cell r="T43">
            <v>40</v>
          </cell>
          <cell r="U43" t="str">
            <v>Interruptible transporation</v>
          </cell>
          <cell r="X43">
            <v>17</v>
          </cell>
          <cell r="Y43">
            <v>16.5</v>
          </cell>
          <cell r="Z43">
            <v>16.666666666666668</v>
          </cell>
          <cell r="AA43">
            <v>16.5</v>
          </cell>
          <cell r="AB43">
            <v>16.399999999999999</v>
          </cell>
          <cell r="AC43">
            <v>16.666666666666668</v>
          </cell>
          <cell r="AD43">
            <v>16.857142857142858</v>
          </cell>
          <cell r="AE43">
            <v>17</v>
          </cell>
          <cell r="AF43">
            <v>17.111111111111111</v>
          </cell>
          <cell r="AG43">
            <v>17.2</v>
          </cell>
          <cell r="AH43">
            <v>17.272727272727273</v>
          </cell>
          <cell r="AI43">
            <v>17.25</v>
          </cell>
        </row>
        <row r="44">
          <cell r="A44">
            <v>41</v>
          </cell>
          <cell r="B44" t="str">
            <v>Less: ESNG to DE, MD &amp; SP</v>
          </cell>
          <cell r="E44">
            <v>-3</v>
          </cell>
          <cell r="F44">
            <v>-3</v>
          </cell>
          <cell r="G44">
            <v>-3</v>
          </cell>
          <cell r="H44">
            <v>-3</v>
          </cell>
          <cell r="I44">
            <v>-3</v>
          </cell>
          <cell r="J44">
            <v>-3</v>
          </cell>
          <cell r="K44">
            <v>-3</v>
          </cell>
          <cell r="L44">
            <v>-3</v>
          </cell>
          <cell r="M44">
            <v>-3</v>
          </cell>
          <cell r="N44">
            <v>-3</v>
          </cell>
          <cell r="O44">
            <v>-3</v>
          </cell>
          <cell r="P44">
            <v>-3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-3</v>
          </cell>
          <cell r="AF44">
            <v>-3</v>
          </cell>
          <cell r="AG44">
            <v>-3</v>
          </cell>
          <cell r="AH44">
            <v>-3</v>
          </cell>
          <cell r="AI44">
            <v>-3</v>
          </cell>
        </row>
        <row r="45">
          <cell r="A45">
            <v>42</v>
          </cell>
          <cell r="B45" t="str">
            <v>Total customers</v>
          </cell>
          <cell r="E45">
            <v>14</v>
          </cell>
          <cell r="F45">
            <v>14</v>
          </cell>
          <cell r="G45">
            <v>14</v>
          </cell>
          <cell r="H45">
            <v>14</v>
          </cell>
          <cell r="I45">
            <v>13.600000000000001</v>
          </cell>
          <cell r="J45">
            <v>13.333333333333332</v>
          </cell>
          <cell r="K45">
            <v>13.285714285714285</v>
          </cell>
          <cell r="L45">
            <v>13</v>
          </cell>
          <cell r="M45">
            <v>12.888888888888889</v>
          </cell>
          <cell r="N45">
            <v>12.9</v>
          </cell>
          <cell r="O45">
            <v>12.727272727272727</v>
          </cell>
          <cell r="P45">
            <v>12.666666666666666</v>
          </cell>
          <cell r="T45">
            <v>42</v>
          </cell>
          <cell r="U45" t="str">
            <v>Total customers</v>
          </cell>
          <cell r="X45">
            <v>14</v>
          </cell>
          <cell r="Y45">
            <v>13.5</v>
          </cell>
          <cell r="Z45">
            <v>13.666666666666668</v>
          </cell>
          <cell r="AA45">
            <v>13.5</v>
          </cell>
          <cell r="AB45">
            <v>13.399999999999999</v>
          </cell>
          <cell r="AC45">
            <v>13.666666666666668</v>
          </cell>
          <cell r="AD45">
            <v>13.857142857142858</v>
          </cell>
          <cell r="AE45">
            <v>14</v>
          </cell>
          <cell r="AF45">
            <v>14.111111111111111</v>
          </cell>
          <cell r="AG45">
            <v>14.2</v>
          </cell>
          <cell r="AH45">
            <v>14.272727272727273</v>
          </cell>
          <cell r="AI45">
            <v>14.25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- 2016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5683906.7201076737</v>
          </cell>
          <cell r="F51">
            <v>10744021.48465818</v>
          </cell>
          <cell r="G51">
            <v>16098607.905234449</v>
          </cell>
          <cell r="H51">
            <v>20016552.340442333</v>
          </cell>
          <cell r="I51">
            <v>24439785.273154765</v>
          </cell>
          <cell r="J51">
            <v>28900135.230370238</v>
          </cell>
          <cell r="K51">
            <v>33461119.871204268</v>
          </cell>
          <cell r="L51">
            <v>37978562.710741624</v>
          </cell>
          <cell r="M51">
            <v>42079725.341285937</v>
          </cell>
          <cell r="N51">
            <v>46254418.105632655</v>
          </cell>
          <cell r="O51">
            <v>51520254.743679859</v>
          </cell>
          <cell r="P51">
            <v>56925329.472958371</v>
          </cell>
          <cell r="T51">
            <v>48</v>
          </cell>
          <cell r="U51" t="str">
            <v>Transportation firm</v>
          </cell>
          <cell r="X51">
            <v>5122614</v>
          </cell>
          <cell r="Y51">
            <v>9569735</v>
          </cell>
          <cell r="Z51">
            <v>14495727</v>
          </cell>
          <cell r="AA51">
            <v>17318834</v>
          </cell>
          <cell r="AB51">
            <v>21205298</v>
          </cell>
          <cell r="AC51">
            <v>25030341</v>
          </cell>
          <cell r="AD51">
            <v>28934555</v>
          </cell>
          <cell r="AE51">
            <v>32945293</v>
          </cell>
          <cell r="AF51">
            <v>37036473</v>
          </cell>
          <cell r="AG51">
            <v>41122212</v>
          </cell>
          <cell r="AH51">
            <v>45003112</v>
          </cell>
          <cell r="AI51">
            <v>50296416</v>
          </cell>
        </row>
        <row r="52">
          <cell r="A52">
            <v>49</v>
          </cell>
          <cell r="B52" t="str">
            <v>Interruptible transportation</v>
          </cell>
          <cell r="E52">
            <v>23466.434880499619</v>
          </cell>
          <cell r="F52">
            <v>72312.797074352959</v>
          </cell>
          <cell r="G52">
            <v>173823.16762025648</v>
          </cell>
          <cell r="H52">
            <v>197905.60086956382</v>
          </cell>
          <cell r="I52">
            <v>221495.36814760318</v>
          </cell>
          <cell r="J52">
            <v>247316.23910388787</v>
          </cell>
          <cell r="K52">
            <v>309792.55598165892</v>
          </cell>
          <cell r="L52">
            <v>345820.67885273311</v>
          </cell>
          <cell r="M52">
            <v>372479.98697631428</v>
          </cell>
          <cell r="N52">
            <v>454853.47435943299</v>
          </cell>
          <cell r="O52">
            <v>569816.12788424722</v>
          </cell>
          <cell r="P52">
            <v>597710.22637323232</v>
          </cell>
          <cell r="T52">
            <v>49</v>
          </cell>
          <cell r="U52" t="str">
            <v>Interruptible transporation</v>
          </cell>
          <cell r="X52">
            <v>142031</v>
          </cell>
          <cell r="Y52">
            <v>208478</v>
          </cell>
          <cell r="Z52">
            <v>233515</v>
          </cell>
          <cell r="AA52">
            <v>259556</v>
          </cell>
          <cell r="AB52">
            <v>332108</v>
          </cell>
          <cell r="AC52">
            <v>413370</v>
          </cell>
          <cell r="AD52">
            <v>504217</v>
          </cell>
          <cell r="AE52">
            <v>641128</v>
          </cell>
          <cell r="AF52">
            <v>1106129</v>
          </cell>
          <cell r="AG52">
            <v>1202694</v>
          </cell>
          <cell r="AH52">
            <v>1252417</v>
          </cell>
          <cell r="AI52">
            <v>1344320</v>
          </cell>
        </row>
        <row r="53">
          <cell r="A53">
            <v>50</v>
          </cell>
          <cell r="B53" t="str">
            <v>Less: ESNG to DE, MD &amp; SP</v>
          </cell>
          <cell r="E53">
            <v>-1984175.4248588751</v>
          </cell>
          <cell r="F53">
            <v>-3590214.7055909904</v>
          </cell>
          <cell r="G53">
            <v>-5125773.1243981402</v>
          </cell>
          <cell r="H53">
            <v>-5959136.4098113496</v>
          </cell>
          <cell r="I53">
            <v>-6639813.74109683</v>
          </cell>
          <cell r="J53">
            <v>-7248512.908603305</v>
          </cell>
          <cell r="K53">
            <v>-7853977.5786745707</v>
          </cell>
          <cell r="L53">
            <v>-8473184.0299417842</v>
          </cell>
          <cell r="M53">
            <v>-9136071.2564163581</v>
          </cell>
          <cell r="N53">
            <v>-9914135.5107177533</v>
          </cell>
          <cell r="O53">
            <v>-11299338.413732423</v>
          </cell>
          <cell r="P53">
            <v>-12980530.216464523</v>
          </cell>
          <cell r="T53">
            <v>50</v>
          </cell>
          <cell r="U53" t="str">
            <v>Less: ESNG to DE, MD &amp; SP</v>
          </cell>
          <cell r="X53">
            <v>-1569792</v>
          </cell>
          <cell r="Y53">
            <v>-2775692</v>
          </cell>
          <cell r="Z53">
            <v>-4167090</v>
          </cell>
          <cell r="AA53">
            <v>-4887552</v>
          </cell>
          <cell r="AB53">
            <v>-5549998</v>
          </cell>
          <cell r="AC53">
            <v>-6104611</v>
          </cell>
          <cell r="AD53">
            <v>-6621478</v>
          </cell>
          <cell r="AE53">
            <v>-7201595</v>
          </cell>
          <cell r="AF53">
            <v>-7814166</v>
          </cell>
          <cell r="AG53">
            <v>-8535444</v>
          </cell>
          <cell r="AH53">
            <v>-9664030</v>
          </cell>
          <cell r="AI53">
            <v>-11373352</v>
          </cell>
        </row>
        <row r="54">
          <cell r="A54">
            <v>51</v>
          </cell>
          <cell r="B54" t="str">
            <v>Total Deliveries</v>
          </cell>
          <cell r="E54">
            <v>3723197.7301292983</v>
          </cell>
          <cell r="F54">
            <v>7226119.5761415428</v>
          </cell>
          <cell r="G54">
            <v>11146657.948456565</v>
          </cell>
          <cell r="H54">
            <v>14255321.531500546</v>
          </cell>
          <cell r="I54">
            <v>18021466.900205538</v>
          </cell>
          <cell r="J54">
            <v>21898938.560870819</v>
          </cell>
          <cell r="K54">
            <v>25916934.848511361</v>
          </cell>
          <cell r="L54">
            <v>29851199.359652571</v>
          </cell>
          <cell r="M54">
            <v>33316134.071845889</v>
          </cell>
          <cell r="N54">
            <v>36795136.069274336</v>
          </cell>
          <cell r="O54">
            <v>40790732.457831681</v>
          </cell>
          <cell r="P54">
            <v>44542509.482867077</v>
          </cell>
          <cell r="T54">
            <v>51</v>
          </cell>
          <cell r="U54" t="str">
            <v>Total Deliveries</v>
          </cell>
          <cell r="X54">
            <v>3694853</v>
          </cell>
          <cell r="Y54">
            <v>7002521</v>
          </cell>
          <cell r="Z54">
            <v>10562152</v>
          </cell>
          <cell r="AA54">
            <v>12690838</v>
          </cell>
          <cell r="AB54">
            <v>15987408</v>
          </cell>
          <cell r="AC54">
            <v>19339100</v>
          </cell>
          <cell r="AD54">
            <v>22817294</v>
          </cell>
          <cell r="AE54">
            <v>26384826</v>
          </cell>
          <cell r="AF54">
            <v>30328436</v>
          </cell>
          <cell r="AG54">
            <v>33789462</v>
          </cell>
          <cell r="AH54">
            <v>36591499</v>
          </cell>
          <cell r="AI54">
            <v>40267384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5937642</v>
          </cell>
          <cell r="F58">
            <v>11215367</v>
          </cell>
          <cell r="G58">
            <v>16796597</v>
          </cell>
          <cell r="H58">
            <v>20873418</v>
          </cell>
          <cell r="I58">
            <v>25469763</v>
          </cell>
          <cell r="J58">
            <v>30103741</v>
          </cell>
          <cell r="K58">
            <v>34846116</v>
          </cell>
          <cell r="L58">
            <v>39567422</v>
          </cell>
          <cell r="M58">
            <v>43825450</v>
          </cell>
          <cell r="N58">
            <v>48166450</v>
          </cell>
          <cell r="O58">
            <v>53637233</v>
          </cell>
          <cell r="P58">
            <v>59230053</v>
          </cell>
          <cell r="T58">
            <v>55</v>
          </cell>
          <cell r="U58" t="str">
            <v>Transportation firm</v>
          </cell>
          <cell r="X58">
            <v>5380127.8057800001</v>
          </cell>
          <cell r="Y58">
            <v>10044757.493890001</v>
          </cell>
          <cell r="Z58">
            <v>15207640.449170001</v>
          </cell>
          <cell r="AA58">
            <v>18160356.291540001</v>
          </cell>
          <cell r="AB58">
            <v>22220001.127379999</v>
          </cell>
          <cell r="AC58">
            <v>26226580.668159999</v>
          </cell>
          <cell r="AD58">
            <v>30319094.90938</v>
          </cell>
          <cell r="AE58">
            <v>34505743.878059998</v>
          </cell>
          <cell r="AF58">
            <v>38789086.60266</v>
          </cell>
          <cell r="AG58">
            <v>43075598.817120001</v>
          </cell>
          <cell r="AH58">
            <v>47148060.04112</v>
          </cell>
          <cell r="AI58">
            <v>52710105.085199997</v>
          </cell>
        </row>
        <row r="59">
          <cell r="A59">
            <v>56</v>
          </cell>
          <cell r="B59" t="str">
            <v>Interruptible transportation</v>
          </cell>
          <cell r="E59">
            <v>24514</v>
          </cell>
          <cell r="F59">
            <v>75461</v>
          </cell>
          <cell r="G59">
            <v>181268</v>
          </cell>
          <cell r="H59">
            <v>206327</v>
          </cell>
          <cell r="I59">
            <v>230840</v>
          </cell>
          <cell r="J59">
            <v>257666</v>
          </cell>
          <cell r="K59">
            <v>322627</v>
          </cell>
          <cell r="L59">
            <v>360281</v>
          </cell>
          <cell r="M59">
            <v>387960</v>
          </cell>
          <cell r="N59">
            <v>473615</v>
          </cell>
          <cell r="O59">
            <v>593052</v>
          </cell>
          <cell r="P59">
            <v>621915</v>
          </cell>
        </row>
        <row r="60">
          <cell r="A60">
            <v>57</v>
          </cell>
          <cell r="B60" t="str">
            <v>Less: ESNG to DE, MD &amp; SP</v>
          </cell>
          <cell r="E60">
            <v>-2072751</v>
          </cell>
          <cell r="F60">
            <v>-3747858</v>
          </cell>
          <cell r="G60">
            <v>-5348412</v>
          </cell>
          <cell r="H60">
            <v>-6215569</v>
          </cell>
          <cell r="I60">
            <v>-6922886</v>
          </cell>
          <cell r="J60">
            <v>-7555280</v>
          </cell>
          <cell r="K60">
            <v>-8184824</v>
          </cell>
          <cell r="L60">
            <v>-8831974</v>
          </cell>
          <cell r="M60">
            <v>-9520216</v>
          </cell>
          <cell r="N60">
            <v>-10329276</v>
          </cell>
          <cell r="O60">
            <v>-11768391</v>
          </cell>
          <cell r="P60">
            <v>-13507979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3889405</v>
          </cell>
          <cell r="F61">
            <v>7542970</v>
          </cell>
          <cell r="G61">
            <v>11629453</v>
          </cell>
          <cell r="H61">
            <v>14864176</v>
          </cell>
          <cell r="I61">
            <v>18777717</v>
          </cell>
          <cell r="J61">
            <v>22806127</v>
          </cell>
          <cell r="K61">
            <v>26983919</v>
          </cell>
          <cell r="L61">
            <v>31095729</v>
          </cell>
          <cell r="M61">
            <v>34693194</v>
          </cell>
          <cell r="N61">
            <v>38310789</v>
          </cell>
          <cell r="O61">
            <v>42461894</v>
          </cell>
          <cell r="P61">
            <v>46343989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5297319.8067632858</v>
          </cell>
          <cell r="F66">
            <v>10100791.304347828</v>
          </cell>
          <cell r="G66">
            <v>16148103.381642515</v>
          </cell>
          <cell r="H66">
            <v>20363612.560386475</v>
          </cell>
          <cell r="I66">
            <v>25838916.908212561</v>
          </cell>
          <cell r="J66">
            <v>30535393.236714978</v>
          </cell>
          <cell r="K66">
            <v>35686977.777777776</v>
          </cell>
          <cell r="L66">
            <v>41139636.714975841</v>
          </cell>
          <cell r="M66">
            <v>46165458.937198065</v>
          </cell>
          <cell r="N66">
            <v>51388542.995169081</v>
          </cell>
          <cell r="O66">
            <v>56053243.478260867</v>
          </cell>
          <cell r="P66">
            <v>62190514.009661831</v>
          </cell>
        </row>
        <row r="67">
          <cell r="A67">
            <v>64</v>
          </cell>
          <cell r="B67" t="str">
            <v>Less Sales to DE/MD/SP</v>
          </cell>
          <cell r="E67">
            <v>-1674839.6135265701</v>
          </cell>
          <cell r="F67">
            <v>-2976306.2801932367</v>
          </cell>
          <cell r="G67">
            <v>-4470833.8164251205</v>
          </cell>
          <cell r="H67">
            <v>-5284212.5603864733</v>
          </cell>
          <cell r="I67">
            <v>-5940893.7198067633</v>
          </cell>
          <cell r="J67">
            <v>-6503416.4251207728</v>
          </cell>
          <cell r="K67">
            <v>-7027896.618357488</v>
          </cell>
          <cell r="L67">
            <v>-7758659.9033816429</v>
          </cell>
          <cell r="M67">
            <v>-8509251.20772947</v>
          </cell>
          <cell r="N67">
            <v>-9459017.3913043495</v>
          </cell>
          <cell r="O67">
            <v>-10694888.88888889</v>
          </cell>
          <cell r="P67">
            <v>-12414835.748792272</v>
          </cell>
        </row>
        <row r="68">
          <cell r="A68">
            <v>65</v>
          </cell>
          <cell r="E68">
            <v>3622480.1932367156</v>
          </cell>
          <cell r="F68">
            <v>7124485.0241545914</v>
          </cell>
          <cell r="G68">
            <v>11677269.565217394</v>
          </cell>
          <cell r="H68">
            <v>15079400.000000002</v>
          </cell>
          <cell r="I68">
            <v>19898023.188405797</v>
          </cell>
          <cell r="J68">
            <v>24031976.811594203</v>
          </cell>
          <cell r="K68">
            <v>28659081.159420289</v>
          </cell>
          <cell r="L68">
            <v>33380976.811594199</v>
          </cell>
          <cell r="M68">
            <v>37656207.729468599</v>
          </cell>
          <cell r="N68">
            <v>41929525.603864729</v>
          </cell>
          <cell r="O68">
            <v>45358354.589371979</v>
          </cell>
          <cell r="P68">
            <v>49775678.260869563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5482726</v>
          </cell>
          <cell r="F70">
            <v>10454319</v>
          </cell>
          <cell r="G70">
            <v>16713287</v>
          </cell>
          <cell r="H70">
            <v>21076339</v>
          </cell>
          <cell r="I70">
            <v>26743279</v>
          </cell>
          <cell r="J70">
            <v>31604132</v>
          </cell>
          <cell r="K70">
            <v>36936022</v>
          </cell>
          <cell r="L70">
            <v>42579524</v>
          </cell>
          <cell r="M70">
            <v>47781250</v>
          </cell>
          <cell r="N70">
            <v>53187142</v>
          </cell>
          <cell r="O70">
            <v>58015107</v>
          </cell>
          <cell r="P70">
            <v>64367182</v>
          </cell>
        </row>
        <row r="71">
          <cell r="A71">
            <v>68</v>
          </cell>
          <cell r="B71" t="str">
            <v>Less Sales to DE/MD/SP</v>
          </cell>
          <cell r="E71">
            <v>-1733459</v>
          </cell>
          <cell r="F71">
            <v>-3080477</v>
          </cell>
          <cell r="G71">
            <v>-4627313</v>
          </cell>
          <cell r="H71">
            <v>-5469160</v>
          </cell>
          <cell r="I71">
            <v>-6148825</v>
          </cell>
          <cell r="J71">
            <v>-6731036</v>
          </cell>
          <cell r="K71">
            <v>-7273873</v>
          </cell>
          <cell r="L71">
            <v>-8030213</v>
          </cell>
          <cell r="M71">
            <v>-8807075</v>
          </cell>
          <cell r="N71">
            <v>-9790083</v>
          </cell>
          <cell r="O71">
            <v>-11069210</v>
          </cell>
          <cell r="P71">
            <v>-12849355</v>
          </cell>
        </row>
      </sheetData>
      <sheetData sheetId="17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24530</v>
          </cell>
          <cell r="F5">
            <v>24291</v>
          </cell>
          <cell r="G5">
            <v>24316</v>
          </cell>
          <cell r="H5">
            <v>24504</v>
          </cell>
          <cell r="I5">
            <v>24515</v>
          </cell>
          <cell r="J5">
            <v>24571</v>
          </cell>
          <cell r="K5">
            <v>24575</v>
          </cell>
          <cell r="L5">
            <v>24590</v>
          </cell>
          <cell r="M5">
            <v>24706</v>
          </cell>
          <cell r="N5">
            <v>24726</v>
          </cell>
          <cell r="O5">
            <v>24801</v>
          </cell>
          <cell r="P5">
            <v>24751</v>
          </cell>
          <cell r="T5">
            <v>2</v>
          </cell>
          <cell r="U5" t="str">
            <v>Residential</v>
          </cell>
          <cell r="W5">
            <v>296226</v>
          </cell>
          <cell r="X5">
            <v>24564</v>
          </cell>
          <cell r="Y5">
            <v>24619</v>
          </cell>
          <cell r="Z5">
            <v>24749</v>
          </cell>
          <cell r="AA5">
            <v>24669</v>
          </cell>
          <cell r="AB5">
            <v>24650</v>
          </cell>
          <cell r="AC5">
            <v>24823</v>
          </cell>
          <cell r="AD5">
            <v>24833</v>
          </cell>
          <cell r="AE5">
            <v>24799</v>
          </cell>
          <cell r="AF5">
            <v>24801</v>
          </cell>
          <cell r="AG5">
            <v>24561</v>
          </cell>
          <cell r="AH5">
            <v>24587</v>
          </cell>
          <cell r="AI5">
            <v>24571</v>
          </cell>
        </row>
        <row r="6">
          <cell r="E6">
            <v>7353</v>
          </cell>
          <cell r="F6">
            <v>7174</v>
          </cell>
          <cell r="G6">
            <v>7168</v>
          </cell>
          <cell r="H6">
            <v>7213</v>
          </cell>
          <cell r="I6">
            <v>7224</v>
          </cell>
          <cell r="J6">
            <v>7248</v>
          </cell>
          <cell r="K6">
            <v>7238</v>
          </cell>
          <cell r="L6">
            <v>7233</v>
          </cell>
          <cell r="M6">
            <v>7249</v>
          </cell>
          <cell r="N6">
            <v>7254</v>
          </cell>
          <cell r="O6">
            <v>7285</v>
          </cell>
          <cell r="P6">
            <v>7273</v>
          </cell>
          <cell r="T6">
            <v>3</v>
          </cell>
          <cell r="U6" t="str">
            <v>Commercial</v>
          </cell>
          <cell r="W6">
            <v>89967</v>
          </cell>
          <cell r="X6">
            <v>7472</v>
          </cell>
          <cell r="Y6">
            <v>7477</v>
          </cell>
          <cell r="Z6">
            <v>7495</v>
          </cell>
          <cell r="AA6">
            <v>7494</v>
          </cell>
          <cell r="AB6">
            <v>7478</v>
          </cell>
          <cell r="AC6">
            <v>7506</v>
          </cell>
          <cell r="AD6">
            <v>7507</v>
          </cell>
          <cell r="AE6">
            <v>7511</v>
          </cell>
          <cell r="AF6">
            <v>7504</v>
          </cell>
          <cell r="AG6">
            <v>7502</v>
          </cell>
          <cell r="AH6">
            <v>7507</v>
          </cell>
          <cell r="AI6">
            <v>7514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2</v>
          </cell>
          <cell r="P7">
            <v>2</v>
          </cell>
          <cell r="T7">
            <v>4</v>
          </cell>
          <cell r="U7" t="str">
            <v xml:space="preserve">Industrial </v>
          </cell>
          <cell r="W7">
            <v>24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5</v>
          </cell>
          <cell r="U8" t="str">
            <v>Other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31885</v>
          </cell>
          <cell r="F9">
            <v>31467</v>
          </cell>
          <cell r="G9">
            <v>31486</v>
          </cell>
          <cell r="H9">
            <v>31719</v>
          </cell>
          <cell r="I9">
            <v>31741</v>
          </cell>
          <cell r="J9">
            <v>31821</v>
          </cell>
          <cell r="K9">
            <v>31815</v>
          </cell>
          <cell r="L9">
            <v>31825</v>
          </cell>
          <cell r="M9">
            <v>31957</v>
          </cell>
          <cell r="N9">
            <v>31982</v>
          </cell>
          <cell r="O9">
            <v>32088</v>
          </cell>
          <cell r="P9">
            <v>32026</v>
          </cell>
          <cell r="T9">
            <v>6</v>
          </cell>
          <cell r="U9" t="str">
            <v>Total customers</v>
          </cell>
          <cell r="W9">
            <v>386217</v>
          </cell>
          <cell r="X9">
            <v>32038</v>
          </cell>
          <cell r="Y9">
            <v>32098</v>
          </cell>
          <cell r="Z9">
            <v>32246</v>
          </cell>
          <cell r="AA9">
            <v>32165</v>
          </cell>
          <cell r="AB9">
            <v>32130</v>
          </cell>
          <cell r="AC9">
            <v>32331</v>
          </cell>
          <cell r="AD9">
            <v>32342</v>
          </cell>
          <cell r="AE9">
            <v>32312</v>
          </cell>
          <cell r="AF9">
            <v>32307</v>
          </cell>
          <cell r="AG9">
            <v>32065</v>
          </cell>
          <cell r="AH9">
            <v>32096</v>
          </cell>
          <cell r="AI9">
            <v>32087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- 2016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24079</v>
          </cell>
          <cell r="F12">
            <v>23688</v>
          </cell>
          <cell r="G12">
            <v>17744</v>
          </cell>
          <cell r="H12">
            <v>18080</v>
          </cell>
          <cell r="I12">
            <v>22585</v>
          </cell>
          <cell r="J12">
            <v>31693.062000000002</v>
          </cell>
          <cell r="K12">
            <v>32053.364000000001</v>
          </cell>
          <cell r="L12">
            <v>32423</v>
          </cell>
          <cell r="M12">
            <v>33061</v>
          </cell>
          <cell r="N12">
            <v>27851</v>
          </cell>
          <cell r="O12">
            <v>21369</v>
          </cell>
          <cell r="P12">
            <v>21819</v>
          </cell>
          <cell r="T12">
            <v>9</v>
          </cell>
          <cell r="U12" t="str">
            <v>Residential</v>
          </cell>
          <cell r="W12">
            <v>307269.28200000001</v>
          </cell>
          <cell r="X12">
            <v>35752.544000000002</v>
          </cell>
          <cell r="Y12">
            <v>24919.059000000001</v>
          </cell>
          <cell r="Z12">
            <v>17856.425999999999</v>
          </cell>
          <cell r="AA12">
            <v>19184.017</v>
          </cell>
          <cell r="AB12">
            <v>19354.330000000002</v>
          </cell>
          <cell r="AC12">
            <v>28144</v>
          </cell>
          <cell r="AD12">
            <v>32734.905999999999</v>
          </cell>
          <cell r="AE12">
            <v>31043</v>
          </cell>
          <cell r="AF12">
            <v>32437</v>
          </cell>
          <cell r="AG12">
            <v>26450</v>
          </cell>
          <cell r="AH12">
            <v>2836</v>
          </cell>
          <cell r="AI12">
            <v>36558</v>
          </cell>
        </row>
        <row r="13">
          <cell r="E13">
            <v>23237</v>
          </cell>
          <cell r="F13">
            <v>20995</v>
          </cell>
          <cell r="G13">
            <v>17597</v>
          </cell>
          <cell r="H13">
            <v>24172</v>
          </cell>
          <cell r="I13">
            <v>25571</v>
          </cell>
          <cell r="J13">
            <v>29797.349000000002</v>
          </cell>
          <cell r="K13">
            <v>29177.805</v>
          </cell>
          <cell r="L13">
            <v>31173</v>
          </cell>
          <cell r="M13">
            <v>32220</v>
          </cell>
          <cell r="N13">
            <v>27781</v>
          </cell>
          <cell r="O13">
            <v>26737</v>
          </cell>
          <cell r="P13">
            <v>22398</v>
          </cell>
          <cell r="T13">
            <v>10</v>
          </cell>
          <cell r="U13" t="str">
            <v>Commercial</v>
          </cell>
          <cell r="W13">
            <v>302686.51299999998</v>
          </cell>
          <cell r="X13">
            <v>24990.721000000001</v>
          </cell>
          <cell r="Y13">
            <v>21976.830999999998</v>
          </cell>
          <cell r="Z13">
            <v>20563</v>
          </cell>
          <cell r="AA13">
            <v>22046.71</v>
          </cell>
          <cell r="AB13">
            <v>22675.084999999999</v>
          </cell>
          <cell r="AC13">
            <v>28554</v>
          </cell>
          <cell r="AD13">
            <v>30136.166000000001</v>
          </cell>
          <cell r="AE13">
            <v>30037</v>
          </cell>
          <cell r="AF13">
            <v>32243</v>
          </cell>
          <cell r="AG13">
            <v>27866</v>
          </cell>
          <cell r="AH13">
            <v>-2191</v>
          </cell>
          <cell r="AI13">
            <v>43789</v>
          </cell>
        </row>
        <row r="14">
          <cell r="E14">
            <v>2100</v>
          </cell>
          <cell r="F14">
            <v>3750</v>
          </cell>
          <cell r="G14">
            <v>1900</v>
          </cell>
          <cell r="H14">
            <v>1210</v>
          </cell>
          <cell r="I14">
            <v>490</v>
          </cell>
          <cell r="J14">
            <v>1472.576</v>
          </cell>
          <cell r="K14">
            <v>1840</v>
          </cell>
          <cell r="L14">
            <v>2920</v>
          </cell>
          <cell r="M14">
            <v>2700</v>
          </cell>
          <cell r="N14">
            <v>3765</v>
          </cell>
          <cell r="O14">
            <v>5112</v>
          </cell>
          <cell r="P14">
            <v>669</v>
          </cell>
          <cell r="T14">
            <v>11</v>
          </cell>
          <cell r="U14" t="str">
            <v xml:space="preserve">Industrial </v>
          </cell>
          <cell r="W14">
            <v>15160</v>
          </cell>
          <cell r="X14">
            <v>1370</v>
          </cell>
          <cell r="Y14">
            <v>1500</v>
          </cell>
          <cell r="Z14">
            <v>1650</v>
          </cell>
          <cell r="AA14">
            <v>1090</v>
          </cell>
          <cell r="AB14">
            <v>800</v>
          </cell>
          <cell r="AC14">
            <v>2220</v>
          </cell>
          <cell r="AD14">
            <v>1280</v>
          </cell>
          <cell r="AE14">
            <v>950</v>
          </cell>
          <cell r="AF14">
            <v>950</v>
          </cell>
          <cell r="AG14">
            <v>920</v>
          </cell>
          <cell r="AH14">
            <v>1240</v>
          </cell>
          <cell r="AI14">
            <v>1190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12</v>
          </cell>
          <cell r="U15" t="str">
            <v>Other</v>
          </cell>
          <cell r="W15">
            <v>7402.0550000000003</v>
          </cell>
          <cell r="X15">
            <v>624.00400000000002</v>
          </cell>
          <cell r="Y15">
            <v>633</v>
          </cell>
          <cell r="Z15">
            <v>638.86199999999997</v>
          </cell>
          <cell r="AA15">
            <v>634.72799999999995</v>
          </cell>
          <cell r="AB15">
            <v>635.46400000000006</v>
          </cell>
          <cell r="AC15">
            <v>637</v>
          </cell>
          <cell r="AD15">
            <v>639.99699999999996</v>
          </cell>
          <cell r="AE15">
            <v>636</v>
          </cell>
          <cell r="AF15">
            <v>637</v>
          </cell>
          <cell r="AG15">
            <v>630</v>
          </cell>
          <cell r="AH15">
            <v>-254</v>
          </cell>
          <cell r="AI15">
            <v>1310</v>
          </cell>
        </row>
        <row r="16">
          <cell r="E16">
            <v>49416</v>
          </cell>
          <cell r="F16">
            <v>48433</v>
          </cell>
          <cell r="G16">
            <v>37241</v>
          </cell>
          <cell r="H16">
            <v>43462</v>
          </cell>
          <cell r="I16">
            <v>48646</v>
          </cell>
          <cell r="J16">
            <v>62962.987000000008</v>
          </cell>
          <cell r="K16">
            <v>63071.169000000002</v>
          </cell>
          <cell r="L16">
            <v>66516</v>
          </cell>
          <cell r="M16">
            <v>67981</v>
          </cell>
          <cell r="N16">
            <v>59397</v>
          </cell>
          <cell r="O16">
            <v>53218</v>
          </cell>
          <cell r="P16">
            <v>44886</v>
          </cell>
          <cell r="T16">
            <v>13</v>
          </cell>
          <cell r="U16" t="str">
            <v>Total Deliveries</v>
          </cell>
          <cell r="W16">
            <v>625115.79499999993</v>
          </cell>
          <cell r="X16">
            <v>62737.269</v>
          </cell>
          <cell r="Y16">
            <v>49028.89</v>
          </cell>
          <cell r="Z16">
            <v>40708.288</v>
          </cell>
          <cell r="AA16">
            <v>42955.455000000002</v>
          </cell>
          <cell r="AB16">
            <v>43464.879000000001</v>
          </cell>
          <cell r="AC16">
            <v>59555</v>
          </cell>
          <cell r="AD16">
            <v>64791.069000000003</v>
          </cell>
          <cell r="AE16">
            <v>62666</v>
          </cell>
          <cell r="AF16">
            <v>66267</v>
          </cell>
          <cell r="AG16">
            <v>55866</v>
          </cell>
          <cell r="AH16">
            <v>1631</v>
          </cell>
          <cell r="AI16">
            <v>82847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E20">
            <v>31875</v>
          </cell>
          <cell r="F20">
            <v>31888</v>
          </cell>
          <cell r="G20">
            <v>31911</v>
          </cell>
          <cell r="H20">
            <v>31980</v>
          </cell>
          <cell r="I20">
            <v>32036</v>
          </cell>
          <cell r="J20">
            <v>32069</v>
          </cell>
          <cell r="K20">
            <v>32100</v>
          </cell>
          <cell r="L20">
            <v>32121</v>
          </cell>
          <cell r="M20">
            <v>32103</v>
          </cell>
          <cell r="N20">
            <v>32053</v>
          </cell>
          <cell r="O20">
            <v>32135</v>
          </cell>
          <cell r="P20">
            <v>32112</v>
          </cell>
          <cell r="T20">
            <v>17</v>
          </cell>
          <cell r="X20">
            <v>31729</v>
          </cell>
          <cell r="Y20">
            <v>31788</v>
          </cell>
          <cell r="Z20">
            <v>31831</v>
          </cell>
          <cell r="AA20">
            <v>31858</v>
          </cell>
          <cell r="AB20">
            <v>31891</v>
          </cell>
          <cell r="AC20">
            <v>31923</v>
          </cell>
          <cell r="AD20">
            <v>31936</v>
          </cell>
          <cell r="AE20">
            <v>31928</v>
          </cell>
          <cell r="AF20">
            <v>31920</v>
          </cell>
          <cell r="AG20">
            <v>31880</v>
          </cell>
          <cell r="AH20">
            <v>31926</v>
          </cell>
          <cell r="AI20">
            <v>31911</v>
          </cell>
        </row>
        <row r="21">
          <cell r="E21">
            <v>51464.739000000001</v>
          </cell>
          <cell r="F21">
            <v>46444.86</v>
          </cell>
          <cell r="G21">
            <v>44019.144999999997</v>
          </cell>
          <cell r="H21">
            <v>44604.292000000001</v>
          </cell>
          <cell r="I21">
            <v>46365.64</v>
          </cell>
          <cell r="J21">
            <v>60603.445</v>
          </cell>
          <cell r="K21">
            <v>68325.709000000003</v>
          </cell>
          <cell r="L21">
            <v>68307.967999999993</v>
          </cell>
          <cell r="M21">
            <v>66645.614000000001</v>
          </cell>
          <cell r="N21">
            <v>55539.233999999997</v>
          </cell>
          <cell r="O21">
            <v>46376.476000000002</v>
          </cell>
          <cell r="P21">
            <v>46163.798999999999</v>
          </cell>
          <cell r="T21">
            <v>18</v>
          </cell>
          <cell r="X21">
            <v>56588.516000000003</v>
          </cell>
          <cell r="Y21">
            <v>50968.468000000001</v>
          </cell>
          <cell r="Z21">
            <v>45312.502999999997</v>
          </cell>
          <cell r="AA21">
            <v>42099.792000000001</v>
          </cell>
          <cell r="AB21">
            <v>44527.938000000002</v>
          </cell>
          <cell r="AC21">
            <v>53558.296000000002</v>
          </cell>
          <cell r="AD21">
            <v>65700.703999999998</v>
          </cell>
          <cell r="AE21">
            <v>64415.542000000001</v>
          </cell>
          <cell r="AF21">
            <v>60348.042000000001</v>
          </cell>
          <cell r="AG21">
            <v>47823.288999999997</v>
          </cell>
          <cell r="AH21">
            <v>43869.203000000001</v>
          </cell>
          <cell r="AI21">
            <v>45951.063999999998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W26" t="str">
            <v>Total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24530</v>
          </cell>
          <cell r="F27">
            <v>24411</v>
          </cell>
          <cell r="G27">
            <v>24379</v>
          </cell>
          <cell r="H27">
            <v>24410</v>
          </cell>
          <cell r="I27">
            <v>24431</v>
          </cell>
          <cell r="J27">
            <v>24455</v>
          </cell>
          <cell r="K27">
            <v>24472</v>
          </cell>
          <cell r="L27">
            <v>24487</v>
          </cell>
          <cell r="M27">
            <v>24511</v>
          </cell>
          <cell r="N27">
            <v>24532</v>
          </cell>
          <cell r="O27">
            <v>24557</v>
          </cell>
          <cell r="P27">
            <v>24573</v>
          </cell>
          <cell r="T27">
            <v>24</v>
          </cell>
          <cell r="U27" t="str">
            <v>Residential</v>
          </cell>
          <cell r="W27">
            <v>296005</v>
          </cell>
          <cell r="X27">
            <v>24564</v>
          </cell>
          <cell r="Y27">
            <v>24592</v>
          </cell>
          <cell r="Z27">
            <v>24644</v>
          </cell>
          <cell r="AA27">
            <v>24650</v>
          </cell>
          <cell r="AB27">
            <v>24650</v>
          </cell>
          <cell r="AC27">
            <v>24679</v>
          </cell>
          <cell r="AD27">
            <v>24701</v>
          </cell>
          <cell r="AE27">
            <v>24713</v>
          </cell>
          <cell r="AF27">
            <v>24723</v>
          </cell>
          <cell r="AG27">
            <v>24707</v>
          </cell>
          <cell r="AH27">
            <v>24696</v>
          </cell>
          <cell r="AI27">
            <v>24686</v>
          </cell>
        </row>
        <row r="28">
          <cell r="E28">
            <v>7353</v>
          </cell>
          <cell r="F28">
            <v>7264</v>
          </cell>
          <cell r="G28">
            <v>7232</v>
          </cell>
          <cell r="H28">
            <v>7227</v>
          </cell>
          <cell r="I28">
            <v>7226</v>
          </cell>
          <cell r="J28">
            <v>7230</v>
          </cell>
          <cell r="K28">
            <v>7231</v>
          </cell>
          <cell r="L28">
            <v>7231</v>
          </cell>
          <cell r="M28">
            <v>7233</v>
          </cell>
          <cell r="N28">
            <v>7235</v>
          </cell>
          <cell r="O28">
            <v>7240</v>
          </cell>
          <cell r="P28">
            <v>7243</v>
          </cell>
          <cell r="T28">
            <v>25</v>
          </cell>
          <cell r="U28" t="str">
            <v>Commercial</v>
          </cell>
          <cell r="W28">
            <v>89848</v>
          </cell>
          <cell r="X28">
            <v>7472</v>
          </cell>
          <cell r="Y28">
            <v>7475</v>
          </cell>
          <cell r="Z28">
            <v>7481</v>
          </cell>
          <cell r="AA28">
            <v>7485</v>
          </cell>
          <cell r="AB28">
            <v>7483</v>
          </cell>
          <cell r="AC28">
            <v>7487</v>
          </cell>
          <cell r="AD28">
            <v>7490</v>
          </cell>
          <cell r="AE28">
            <v>7493</v>
          </cell>
          <cell r="AF28">
            <v>7494</v>
          </cell>
          <cell r="AG28">
            <v>7495</v>
          </cell>
          <cell r="AH28">
            <v>7496</v>
          </cell>
          <cell r="AI28">
            <v>7497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W29">
            <v>24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E31">
            <v>31885</v>
          </cell>
          <cell r="F31">
            <v>31677</v>
          </cell>
          <cell r="G31">
            <v>31613</v>
          </cell>
          <cell r="H31">
            <v>31639</v>
          </cell>
          <cell r="I31">
            <v>31659</v>
          </cell>
          <cell r="J31">
            <v>31687</v>
          </cell>
          <cell r="K31">
            <v>31705</v>
          </cell>
          <cell r="L31">
            <v>31720</v>
          </cell>
          <cell r="M31">
            <v>31746</v>
          </cell>
          <cell r="N31">
            <v>31769</v>
          </cell>
          <cell r="O31">
            <v>31799</v>
          </cell>
          <cell r="P31">
            <v>31818</v>
          </cell>
          <cell r="T31">
            <v>28</v>
          </cell>
          <cell r="U31" t="str">
            <v>Total customers</v>
          </cell>
          <cell r="W31">
            <v>385877</v>
          </cell>
          <cell r="X31">
            <v>32038</v>
          </cell>
          <cell r="Y31">
            <v>32069</v>
          </cell>
          <cell r="Z31">
            <v>32127</v>
          </cell>
          <cell r="AA31">
            <v>32137</v>
          </cell>
          <cell r="AB31">
            <v>32135</v>
          </cell>
          <cell r="AC31">
            <v>32168</v>
          </cell>
          <cell r="AD31">
            <v>32193</v>
          </cell>
          <cell r="AE31">
            <v>32208</v>
          </cell>
          <cell r="AF31">
            <v>32219</v>
          </cell>
          <cell r="AG31">
            <v>32204</v>
          </cell>
          <cell r="AH31">
            <v>32194</v>
          </cell>
          <cell r="AI31">
            <v>32185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W34" t="str">
            <v>Total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24079</v>
          </cell>
          <cell r="F35">
            <v>47767</v>
          </cell>
          <cell r="G35">
            <v>65511</v>
          </cell>
          <cell r="H35">
            <v>83591</v>
          </cell>
          <cell r="I35">
            <v>106176</v>
          </cell>
          <cell r="J35">
            <v>137869.06200000001</v>
          </cell>
          <cell r="K35">
            <v>169922.42600000001</v>
          </cell>
          <cell r="L35">
            <v>202345.42600000001</v>
          </cell>
          <cell r="M35">
            <v>235406.42600000001</v>
          </cell>
          <cell r="N35">
            <v>263257.42599999998</v>
          </cell>
          <cell r="O35">
            <v>284626.42599999998</v>
          </cell>
          <cell r="P35">
            <v>306445.42599999998</v>
          </cell>
          <cell r="T35">
            <v>32</v>
          </cell>
          <cell r="U35" t="str">
            <v>Residential</v>
          </cell>
          <cell r="W35">
            <v>2009155.6660000002</v>
          </cell>
          <cell r="X35">
            <v>35752.544000000002</v>
          </cell>
          <cell r="Y35">
            <v>60671.603000000003</v>
          </cell>
          <cell r="Z35">
            <v>78528.02900000001</v>
          </cell>
          <cell r="AA35">
            <v>97712.046000000002</v>
          </cell>
          <cell r="AB35">
            <v>117066.376</v>
          </cell>
          <cell r="AC35">
            <v>145210.37599999999</v>
          </cell>
          <cell r="AD35">
            <v>177945.28199999998</v>
          </cell>
          <cell r="AE35">
            <v>208988.28199999998</v>
          </cell>
          <cell r="AF35">
            <v>241425.28199999998</v>
          </cell>
          <cell r="AG35">
            <v>267875.28200000001</v>
          </cell>
          <cell r="AH35">
            <v>270711.28200000001</v>
          </cell>
          <cell r="AI35">
            <v>307269.28200000001</v>
          </cell>
        </row>
        <row r="36">
          <cell r="E36">
            <v>23237</v>
          </cell>
          <cell r="F36">
            <v>44232</v>
          </cell>
          <cell r="G36">
            <v>61829</v>
          </cell>
          <cell r="H36">
            <v>86001</v>
          </cell>
          <cell r="I36">
            <v>111572</v>
          </cell>
          <cell r="J36">
            <v>141369.34899999999</v>
          </cell>
          <cell r="K36">
            <v>170547.15399999998</v>
          </cell>
          <cell r="L36">
            <v>201720.15399999998</v>
          </cell>
          <cell r="M36">
            <v>233940.15399999998</v>
          </cell>
          <cell r="N36">
            <v>261721.15399999998</v>
          </cell>
          <cell r="O36">
            <v>288458.15399999998</v>
          </cell>
          <cell r="P36">
            <v>310856.15399999998</v>
          </cell>
          <cell r="T36">
            <v>33</v>
          </cell>
          <cell r="U36" t="str">
            <v>Commercial</v>
          </cell>
          <cell r="W36">
            <v>1909941.8590000002</v>
          </cell>
          <cell r="X36">
            <v>24990.721000000001</v>
          </cell>
          <cell r="Y36">
            <v>46967.551999999996</v>
          </cell>
          <cell r="Z36">
            <v>67530.551999999996</v>
          </cell>
          <cell r="AA36">
            <v>89577.261999999988</v>
          </cell>
          <cell r="AB36">
            <v>112252.34699999998</v>
          </cell>
          <cell r="AC36">
            <v>140806.34699999998</v>
          </cell>
          <cell r="AD36">
            <v>170942.51299999998</v>
          </cell>
          <cell r="AE36">
            <v>200979.51299999998</v>
          </cell>
          <cell r="AF36">
            <v>233222.51299999998</v>
          </cell>
          <cell r="AG36">
            <v>261088.51299999998</v>
          </cell>
          <cell r="AH36">
            <v>258897.51299999998</v>
          </cell>
          <cell r="AI36">
            <v>302686.51299999998</v>
          </cell>
        </row>
        <row r="37">
          <cell r="E37">
            <v>2100</v>
          </cell>
          <cell r="F37">
            <v>5850</v>
          </cell>
          <cell r="G37">
            <v>7750</v>
          </cell>
          <cell r="H37">
            <v>8960</v>
          </cell>
          <cell r="I37">
            <v>9450</v>
          </cell>
          <cell r="J37">
            <v>10922.576000000001</v>
          </cell>
          <cell r="K37">
            <v>12762.576000000001</v>
          </cell>
          <cell r="L37">
            <v>15682.576000000001</v>
          </cell>
          <cell r="M37">
            <v>18382.576000000001</v>
          </cell>
          <cell r="N37">
            <v>22147.576000000001</v>
          </cell>
          <cell r="O37">
            <v>27259.576000000001</v>
          </cell>
          <cell r="P37">
            <v>27928.576000000001</v>
          </cell>
          <cell r="T37">
            <v>34</v>
          </cell>
          <cell r="U37" t="str">
            <v xml:space="preserve">Industrial </v>
          </cell>
          <cell r="W37">
            <v>103850</v>
          </cell>
          <cell r="X37">
            <v>1370</v>
          </cell>
          <cell r="Y37">
            <v>2870</v>
          </cell>
          <cell r="Z37">
            <v>4520</v>
          </cell>
          <cell r="AA37">
            <v>5610</v>
          </cell>
          <cell r="AB37">
            <v>6410</v>
          </cell>
          <cell r="AC37">
            <v>8630</v>
          </cell>
          <cell r="AD37">
            <v>9910</v>
          </cell>
          <cell r="AE37">
            <v>10860</v>
          </cell>
          <cell r="AF37">
            <v>11810</v>
          </cell>
          <cell r="AG37">
            <v>12730</v>
          </cell>
          <cell r="AH37">
            <v>13970</v>
          </cell>
          <cell r="AI37">
            <v>15160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35</v>
          </cell>
          <cell r="U38" t="str">
            <v>Other</v>
          </cell>
          <cell r="W38">
            <v>48354.914000000004</v>
          </cell>
          <cell r="X38">
            <v>624.00400000000002</v>
          </cell>
          <cell r="Y38">
            <v>1257.0039999999999</v>
          </cell>
          <cell r="Z38">
            <v>1895.866</v>
          </cell>
          <cell r="AA38">
            <v>2530.5940000000001</v>
          </cell>
          <cell r="AB38">
            <v>3166.058</v>
          </cell>
          <cell r="AC38">
            <v>3803.058</v>
          </cell>
          <cell r="AD38">
            <v>4443.0550000000003</v>
          </cell>
          <cell r="AE38">
            <v>5079.0550000000003</v>
          </cell>
          <cell r="AF38">
            <v>5716.0550000000003</v>
          </cell>
          <cell r="AG38">
            <v>6346.0550000000003</v>
          </cell>
          <cell r="AH38">
            <v>6092.0550000000003</v>
          </cell>
          <cell r="AI38">
            <v>7402.0550000000003</v>
          </cell>
        </row>
        <row r="39">
          <cell r="E39">
            <v>49416</v>
          </cell>
          <cell r="F39">
            <v>97849</v>
          </cell>
          <cell r="G39">
            <v>135090</v>
          </cell>
          <cell r="H39">
            <v>178552</v>
          </cell>
          <cell r="I39">
            <v>227198</v>
          </cell>
          <cell r="J39">
            <v>290160.98699999996</v>
          </cell>
          <cell r="K39">
            <v>353232.15599999996</v>
          </cell>
          <cell r="L39">
            <v>419748.15599999996</v>
          </cell>
          <cell r="M39">
            <v>487729.15599999996</v>
          </cell>
          <cell r="N39">
            <v>547126.15599999996</v>
          </cell>
          <cell r="O39">
            <v>600344.15599999996</v>
          </cell>
          <cell r="P39">
            <v>645230.15599999996</v>
          </cell>
          <cell r="T39">
            <v>36</v>
          </cell>
          <cell r="U39" t="str">
            <v>Total Deliveries</v>
          </cell>
          <cell r="W39">
            <v>4022947.5250000004</v>
          </cell>
          <cell r="X39">
            <v>62737.269</v>
          </cell>
          <cell r="Y39">
            <v>111766.159</v>
          </cell>
          <cell r="Z39">
            <v>152474.44700000001</v>
          </cell>
          <cell r="AA39">
            <v>195429.902</v>
          </cell>
          <cell r="AB39">
            <v>238894.78099999999</v>
          </cell>
          <cell r="AC39">
            <v>298449.78100000002</v>
          </cell>
          <cell r="AD39">
            <v>363240.84999999992</v>
          </cell>
          <cell r="AE39">
            <v>425906.84999999992</v>
          </cell>
          <cell r="AF39">
            <v>492173.84999999992</v>
          </cell>
          <cell r="AG39">
            <v>548039.85</v>
          </cell>
          <cell r="AH39">
            <v>549670.85</v>
          </cell>
          <cell r="AI39">
            <v>632517.85</v>
          </cell>
        </row>
        <row r="40">
          <cell r="T40">
            <v>37</v>
          </cell>
        </row>
        <row r="43"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E44">
            <v>31875</v>
          </cell>
          <cell r="F44">
            <v>31882</v>
          </cell>
          <cell r="G44">
            <v>31891</v>
          </cell>
          <cell r="H44">
            <v>31914</v>
          </cell>
          <cell r="I44">
            <v>31938</v>
          </cell>
          <cell r="J44">
            <v>31960</v>
          </cell>
          <cell r="K44">
            <v>31980</v>
          </cell>
          <cell r="L44">
            <v>31998</v>
          </cell>
          <cell r="M44">
            <v>32009</v>
          </cell>
          <cell r="N44">
            <v>32014</v>
          </cell>
          <cell r="O44">
            <v>32025</v>
          </cell>
          <cell r="P44">
            <v>32032</v>
          </cell>
          <cell r="T44">
            <v>39</v>
          </cell>
          <cell r="X44">
            <v>31729</v>
          </cell>
          <cell r="Y44">
            <v>31759</v>
          </cell>
          <cell r="Z44">
            <v>31783</v>
          </cell>
          <cell r="AA44">
            <v>31802</v>
          </cell>
          <cell r="AB44">
            <v>31819</v>
          </cell>
          <cell r="AC44">
            <v>31837</v>
          </cell>
          <cell r="AD44">
            <v>31851</v>
          </cell>
          <cell r="AE44">
            <v>31861</v>
          </cell>
          <cell r="AF44">
            <v>31867</v>
          </cell>
          <cell r="AG44">
            <v>31868</v>
          </cell>
          <cell r="AH44">
            <v>31874</v>
          </cell>
          <cell r="AI44">
            <v>31877</v>
          </cell>
        </row>
        <row r="45">
          <cell r="E45">
            <v>51464.739000000001</v>
          </cell>
          <cell r="F45">
            <v>97909.599000000002</v>
          </cell>
          <cell r="G45">
            <v>141928.74400000001</v>
          </cell>
          <cell r="H45">
            <v>186533.03600000002</v>
          </cell>
          <cell r="I45">
            <v>232898.67600000004</v>
          </cell>
          <cell r="J45">
            <v>293502.12100000004</v>
          </cell>
          <cell r="K45">
            <v>361827.83000000007</v>
          </cell>
          <cell r="L45">
            <v>430135.79800000007</v>
          </cell>
          <cell r="M45">
            <v>496781.41200000007</v>
          </cell>
          <cell r="N45">
            <v>552320.64600000007</v>
          </cell>
          <cell r="O45">
            <v>598697.12200000009</v>
          </cell>
          <cell r="P45">
            <v>644860.92100000009</v>
          </cell>
          <cell r="T45">
            <v>40</v>
          </cell>
          <cell r="X45">
            <v>56588.516000000003</v>
          </cell>
          <cell r="Y45">
            <v>107556.984</v>
          </cell>
          <cell r="Z45">
            <v>152869.48699999999</v>
          </cell>
          <cell r="AA45">
            <v>194969.27899999998</v>
          </cell>
          <cell r="AB45">
            <v>239497.21699999998</v>
          </cell>
          <cell r="AC45">
            <v>293055.51299999998</v>
          </cell>
          <cell r="AD45">
            <v>358756.21699999995</v>
          </cell>
          <cell r="AE45">
            <v>423171.75899999996</v>
          </cell>
          <cell r="AF45">
            <v>483519.80099999998</v>
          </cell>
          <cell r="AG45">
            <v>531343.09</v>
          </cell>
          <cell r="AH45">
            <v>575212.29299999995</v>
          </cell>
          <cell r="AI45">
            <v>621163.35699999996</v>
          </cell>
        </row>
        <row r="47">
          <cell r="G47" t="str">
            <v>Q1 2019</v>
          </cell>
          <cell r="J47" t="str">
            <v>Q2 2019</v>
          </cell>
          <cell r="M47" t="str">
            <v>Q3 2019</v>
          </cell>
          <cell r="P47" t="str">
            <v>Q4 2019</v>
          </cell>
        </row>
        <row r="48">
          <cell r="G48">
            <v>24379</v>
          </cell>
          <cell r="J48">
            <v>24530</v>
          </cell>
          <cell r="M48">
            <v>24624</v>
          </cell>
          <cell r="P48">
            <v>24759</v>
          </cell>
        </row>
        <row r="49">
          <cell r="G49">
            <v>7232</v>
          </cell>
          <cell r="J49">
            <v>7228</v>
          </cell>
          <cell r="M49">
            <v>7240</v>
          </cell>
          <cell r="P49">
            <v>7271</v>
          </cell>
        </row>
        <row r="50">
          <cell r="G50">
            <v>2</v>
          </cell>
          <cell r="J50">
            <v>2</v>
          </cell>
          <cell r="M50">
            <v>2</v>
          </cell>
          <cell r="P50">
            <v>2</v>
          </cell>
        </row>
        <row r="51">
          <cell r="G51">
            <v>0</v>
          </cell>
          <cell r="J51">
            <v>0</v>
          </cell>
          <cell r="M51">
            <v>0</v>
          </cell>
          <cell r="P51">
            <v>0</v>
          </cell>
        </row>
        <row r="52">
          <cell r="G52">
            <v>31613</v>
          </cell>
          <cell r="J52">
            <v>31760</v>
          </cell>
          <cell r="M52">
            <v>31866</v>
          </cell>
          <cell r="P52">
            <v>32032</v>
          </cell>
        </row>
        <row r="55">
          <cell r="G55">
            <v>65511</v>
          </cell>
          <cell r="J55">
            <v>72358</v>
          </cell>
          <cell r="M55">
            <v>97537</v>
          </cell>
          <cell r="P55">
            <v>71039</v>
          </cell>
        </row>
        <row r="56">
          <cell r="G56">
            <v>61829</v>
          </cell>
          <cell r="J56">
            <v>79540</v>
          </cell>
          <cell r="M56">
            <v>92571</v>
          </cell>
          <cell r="P56">
            <v>76916</v>
          </cell>
        </row>
        <row r="57">
          <cell r="G57">
            <v>7750</v>
          </cell>
          <cell r="J57">
            <v>3173</v>
          </cell>
          <cell r="M57">
            <v>7460</v>
          </cell>
          <cell r="P57">
            <v>9546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</row>
        <row r="59">
          <cell r="G59">
            <v>135090</v>
          </cell>
          <cell r="J59">
            <v>155071</v>
          </cell>
          <cell r="M59">
            <v>197568</v>
          </cell>
          <cell r="P59">
            <v>157501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 Change Management"/>
      <sheetName val="INPUT_Date.Etc"/>
      <sheetName val="Customers Act vs Budget"/>
      <sheetName val="VolumesActvsAct"/>
      <sheetName val="CustomersActvsAct"/>
      <sheetName val="Volumes Act vs Budget"/>
      <sheetName val="RegCust"/>
      <sheetName val="RegVol"/>
      <sheetName val="UnregCust"/>
      <sheetName val="UnregVol"/>
      <sheetName val="Delaware"/>
      <sheetName val="Maryland"/>
      <sheetName val="Sandpiper"/>
      <sheetName val="Elkton"/>
      <sheetName val="CFG"/>
      <sheetName val="FPUNG"/>
      <sheetName val="Electric"/>
      <sheetName val="ESNG"/>
      <sheetName val="SharpDelmarva"/>
      <sheetName val="FloridaPropane"/>
      <sheetName val="AEO"/>
      <sheetName val="PESCO"/>
    </sheetNames>
    <sheetDataSet>
      <sheetData sheetId="0" refreshError="1"/>
      <sheetData sheetId="1">
        <row r="4">
          <cell r="B4">
            <v>11</v>
          </cell>
        </row>
        <row r="12">
          <cell r="M12">
            <v>13</v>
          </cell>
          <cell r="N12">
            <v>14</v>
          </cell>
          <cell r="O12">
            <v>15</v>
          </cell>
          <cell r="P12">
            <v>16</v>
          </cell>
        </row>
        <row r="14">
          <cell r="A14">
            <v>1</v>
          </cell>
          <cell r="B14" t="str">
            <v>January</v>
          </cell>
          <cell r="C14">
            <v>31</v>
          </cell>
          <cell r="D14" t="str">
            <v>One</v>
          </cell>
          <cell r="E14" t="str">
            <v>Month</v>
          </cell>
          <cell r="F14" t="str">
            <v>For the One Month ended January 31, 2021 and 2020</v>
          </cell>
          <cell r="G14" t="str">
            <v xml:space="preserve">For the One Month ended </v>
          </cell>
          <cell r="H14" t="str">
            <v xml:space="preserve">Average customers for the One Month ended </v>
          </cell>
          <cell r="I14" t="str">
            <v>Actual customers for the Month of January 2021</v>
          </cell>
          <cell r="J14" t="str">
            <v>Actual customers for the Month of January 2020</v>
          </cell>
          <cell r="K14" t="str">
            <v>Average customers for the One Month ended January 31, 2021</v>
          </cell>
          <cell r="L14" t="str">
            <v>Average customers for the One Month ended January 31, 2020</v>
          </cell>
          <cell r="M14" t="str">
            <v>Volume for the Month of January 2021</v>
          </cell>
          <cell r="N14" t="str">
            <v>Volume for the Month of January 2020</v>
          </cell>
          <cell r="O14" t="str">
            <v>Volume for the One Month ended January 31, 2021</v>
          </cell>
          <cell r="P14" t="str">
            <v>Volume for the One Month ended January 31, 2020</v>
          </cell>
        </row>
        <row r="15">
          <cell r="A15">
            <v>2</v>
          </cell>
          <cell r="B15" t="str">
            <v>February</v>
          </cell>
          <cell r="C15">
            <v>28</v>
          </cell>
          <cell r="D15" t="str">
            <v>Two</v>
          </cell>
          <cell r="E15" t="str">
            <v>Months</v>
          </cell>
          <cell r="F15" t="str">
            <v>For the Two Months ended February 28, 2021 and 2020</v>
          </cell>
          <cell r="G15" t="str">
            <v xml:space="preserve">For the Two Months ended </v>
          </cell>
          <cell r="H15" t="str">
            <v xml:space="preserve">Average customers for the Two Months ended </v>
          </cell>
          <cell r="I15" t="str">
            <v>Actual customers for the Month of February 2021</v>
          </cell>
          <cell r="J15" t="str">
            <v>Actual customers for the Month of February 2020</v>
          </cell>
          <cell r="K15" t="str">
            <v>Average customers for the Two Months ended February 28, 2021</v>
          </cell>
          <cell r="L15" t="str">
            <v>Average customers for the Two Months ended February 28, 2020</v>
          </cell>
          <cell r="M15" t="str">
            <v>Volume for the Month of February 2021</v>
          </cell>
          <cell r="N15" t="str">
            <v>Volume for the Month of February 2020</v>
          </cell>
          <cell r="O15" t="str">
            <v>Volume for the Two Months ended February 28, 2021</v>
          </cell>
          <cell r="P15" t="str">
            <v>Volume for the Two Months ended February 28, 2020</v>
          </cell>
        </row>
        <row r="16">
          <cell r="A16">
            <v>3</v>
          </cell>
          <cell r="B16" t="str">
            <v>March</v>
          </cell>
          <cell r="C16">
            <v>31</v>
          </cell>
          <cell r="D16" t="str">
            <v>Three</v>
          </cell>
          <cell r="E16" t="str">
            <v>Months</v>
          </cell>
          <cell r="F16" t="str">
            <v>For the Three Months ended March 31, 2021 and 2020</v>
          </cell>
          <cell r="G16" t="str">
            <v xml:space="preserve">For the Three Months ended </v>
          </cell>
          <cell r="H16" t="str">
            <v xml:space="preserve">Average customers for the Three Months ended </v>
          </cell>
          <cell r="I16" t="str">
            <v>Actual customers for the Month of March 2021</v>
          </cell>
          <cell r="J16" t="str">
            <v>Actual customers for the Month of March 2020</v>
          </cell>
          <cell r="K16" t="str">
            <v>Average customers for the Three Months ended March 31, 2021</v>
          </cell>
          <cell r="L16" t="str">
            <v>Average customers for the Three Months ended March 31, 2020</v>
          </cell>
          <cell r="M16" t="str">
            <v>Volume for the Month of March 2021</v>
          </cell>
          <cell r="N16" t="str">
            <v>Volume for the Month of March 2020</v>
          </cell>
          <cell r="O16" t="str">
            <v>Volume for the Three Months ended March 31, 2021</v>
          </cell>
          <cell r="P16" t="str">
            <v>Volume for the Three Months ended March 31, 2020</v>
          </cell>
        </row>
        <row r="17">
          <cell r="A17">
            <v>4</v>
          </cell>
          <cell r="B17" t="str">
            <v>April</v>
          </cell>
          <cell r="C17">
            <v>30</v>
          </cell>
          <cell r="D17" t="str">
            <v>Four</v>
          </cell>
          <cell r="E17" t="str">
            <v>Months</v>
          </cell>
          <cell r="F17" t="str">
            <v>For the Four Months ended April 30, 2021 and 2020</v>
          </cell>
          <cell r="G17" t="str">
            <v xml:space="preserve">For the Four Months ended </v>
          </cell>
          <cell r="H17" t="str">
            <v xml:space="preserve">Average customers for the Four Months ended </v>
          </cell>
          <cell r="I17" t="str">
            <v>Actual customers for the Month of April 2021</v>
          </cell>
          <cell r="J17" t="str">
            <v>Actual customers for the Month of April 2020</v>
          </cell>
          <cell r="K17" t="str">
            <v>Average customers for the Four Months ended April 30, 2021</v>
          </cell>
          <cell r="L17" t="str">
            <v>Average customers for the Four Months ended April 30, 2020</v>
          </cell>
          <cell r="M17" t="str">
            <v>Volume for the Month of April 2021</v>
          </cell>
          <cell r="N17" t="str">
            <v>Volume for the Month of April 2020</v>
          </cell>
          <cell r="O17" t="str">
            <v>Volume for the Four Months ended April 30, 2021</v>
          </cell>
          <cell r="P17" t="str">
            <v>Volume for the Four Months ended April 30, 2020</v>
          </cell>
        </row>
        <row r="18">
          <cell r="A18">
            <v>5</v>
          </cell>
          <cell r="B18" t="str">
            <v>May</v>
          </cell>
          <cell r="C18">
            <v>31</v>
          </cell>
          <cell r="D18" t="str">
            <v>Five</v>
          </cell>
          <cell r="E18" t="str">
            <v>Months</v>
          </cell>
          <cell r="F18" t="str">
            <v>For the Five Months ended May 31, 2021 and 2020</v>
          </cell>
          <cell r="G18" t="str">
            <v xml:space="preserve">For the Five Months ended </v>
          </cell>
          <cell r="H18" t="str">
            <v xml:space="preserve">Average customers for the Five Months ended </v>
          </cell>
          <cell r="I18" t="str">
            <v>Actual customers for the Month of May 2021</v>
          </cell>
          <cell r="J18" t="str">
            <v>Actual customers for the Month of May 2020</v>
          </cell>
          <cell r="K18" t="str">
            <v>Average customers for the Five Months ended May 31, 2021</v>
          </cell>
          <cell r="L18" t="str">
            <v>Average customers for the Five Months ended May 31, 2020</v>
          </cell>
          <cell r="M18" t="str">
            <v>Volume for the Month of May 2021</v>
          </cell>
          <cell r="N18" t="str">
            <v>Volume for the Month of May 2020</v>
          </cell>
          <cell r="O18" t="str">
            <v>Volume for the Five Months ended May 31, 2021</v>
          </cell>
          <cell r="P18" t="str">
            <v>Volume for the Five Months ended May 31, 2020</v>
          </cell>
        </row>
        <row r="19">
          <cell r="A19">
            <v>6</v>
          </cell>
          <cell r="B19" t="str">
            <v>June</v>
          </cell>
          <cell r="C19">
            <v>30</v>
          </cell>
          <cell r="D19" t="str">
            <v>Six</v>
          </cell>
          <cell r="E19" t="str">
            <v>Months</v>
          </cell>
          <cell r="F19" t="str">
            <v>For the Six Months ended June 30, 2021 and 2020</v>
          </cell>
          <cell r="G19" t="str">
            <v xml:space="preserve">For the Six Months ended </v>
          </cell>
          <cell r="H19" t="str">
            <v xml:space="preserve">Average customers for the Six Months ended </v>
          </cell>
          <cell r="I19" t="str">
            <v>Actual customers for the Month of June 2021</v>
          </cell>
          <cell r="J19" t="str">
            <v>Actual customers for the Month of June 2020</v>
          </cell>
          <cell r="K19" t="str">
            <v>Average customers for the Six Months ended June 30, 2021</v>
          </cell>
          <cell r="L19" t="str">
            <v>Average customers for the Six Months ended June 30, 2020</v>
          </cell>
          <cell r="M19" t="str">
            <v>Volume for the Month of June 2021</v>
          </cell>
          <cell r="N19" t="str">
            <v>Volume for the Month of June 2020</v>
          </cell>
          <cell r="O19" t="str">
            <v>Volume for the Six Months ended June 30, 2021</v>
          </cell>
          <cell r="P19" t="str">
            <v>Volume for the Six Months ended June 30, 2020</v>
          </cell>
        </row>
        <row r="20">
          <cell r="A20">
            <v>7</v>
          </cell>
          <cell r="B20" t="str">
            <v>July</v>
          </cell>
          <cell r="C20">
            <v>31</v>
          </cell>
          <cell r="D20" t="str">
            <v>Seven</v>
          </cell>
          <cell r="E20" t="str">
            <v>Months</v>
          </cell>
          <cell r="F20" t="str">
            <v>For the Seven Months ended July 31, 2021 and 2020</v>
          </cell>
          <cell r="G20" t="str">
            <v xml:space="preserve">For the Seven Months ended </v>
          </cell>
          <cell r="H20" t="str">
            <v xml:space="preserve">Average customers for the Seven Months ended </v>
          </cell>
          <cell r="I20" t="str">
            <v>Actual customers for the Month of July 2021</v>
          </cell>
          <cell r="J20" t="str">
            <v>Actual customers for the Month of July 2020</v>
          </cell>
          <cell r="K20" t="str">
            <v>Average customers for the Seven Months ended July 31, 2021</v>
          </cell>
          <cell r="L20" t="str">
            <v>Average customers for the Seven Months ended July 31, 2020</v>
          </cell>
          <cell r="M20" t="str">
            <v>Volume for the Month of July 2021</v>
          </cell>
          <cell r="N20" t="str">
            <v>Volume for the Month of July 2020</v>
          </cell>
          <cell r="O20" t="str">
            <v>Volume for the Seven Months ended July 31, 2021</v>
          </cell>
          <cell r="P20" t="str">
            <v>Volume for the Seven Months ended July 31, 2020</v>
          </cell>
        </row>
        <row r="21">
          <cell r="A21">
            <v>8</v>
          </cell>
          <cell r="B21" t="str">
            <v>August</v>
          </cell>
          <cell r="C21">
            <v>31</v>
          </cell>
          <cell r="D21" t="str">
            <v>Eight</v>
          </cell>
          <cell r="E21" t="str">
            <v>Months</v>
          </cell>
          <cell r="F21" t="str">
            <v>For the Eight Months ended August 31, 2021 and 2020</v>
          </cell>
          <cell r="G21" t="str">
            <v xml:space="preserve">For the Eight Months ended </v>
          </cell>
          <cell r="H21" t="str">
            <v xml:space="preserve">Average customers for the Eight Months ended </v>
          </cell>
          <cell r="I21" t="str">
            <v>Actual customers for the Month of August 2021</v>
          </cell>
          <cell r="J21" t="str">
            <v>Actual customers for the Month of August 2020</v>
          </cell>
          <cell r="K21" t="str">
            <v>Average customers for the Eight Months ended August 31, 2021</v>
          </cell>
          <cell r="L21" t="str">
            <v>Average customers for the Eight Months ended August 31, 2020</v>
          </cell>
          <cell r="M21" t="str">
            <v>Volume for the Month of August 2021</v>
          </cell>
          <cell r="N21" t="str">
            <v>Volume for the Month of August 2020</v>
          </cell>
          <cell r="O21" t="str">
            <v>Volume for the Eight Months ended August 31, 2021</v>
          </cell>
          <cell r="P21" t="str">
            <v>Volume for the Eight Months ended August 31, 2020</v>
          </cell>
        </row>
        <row r="22">
          <cell r="A22">
            <v>9</v>
          </cell>
          <cell r="B22" t="str">
            <v>September</v>
          </cell>
          <cell r="C22">
            <v>30</v>
          </cell>
          <cell r="D22" t="str">
            <v>Nine</v>
          </cell>
          <cell r="E22" t="str">
            <v>Months</v>
          </cell>
          <cell r="F22" t="str">
            <v>For the Nine Months ended September 30, 2021 and 2020</v>
          </cell>
          <cell r="G22" t="str">
            <v xml:space="preserve">For the Nine Months ended </v>
          </cell>
          <cell r="H22" t="str">
            <v xml:space="preserve">Average customers for the Nine Months ended </v>
          </cell>
          <cell r="I22" t="str">
            <v>Actual customers for the Month of September 2021</v>
          </cell>
          <cell r="J22" t="str">
            <v>Actual customers for the Month of September 2020</v>
          </cell>
          <cell r="K22" t="str">
            <v>Average customers for the Nine Months ended September 30, 2021</v>
          </cell>
          <cell r="L22" t="str">
            <v>Average customers for the Nine Months ended September 30, 2020</v>
          </cell>
          <cell r="M22" t="str">
            <v>Volume for the Month of September 2021</v>
          </cell>
          <cell r="N22" t="str">
            <v>Volume for the Month of September 2020</v>
          </cell>
          <cell r="O22" t="str">
            <v>Volume for the Nine Months ended September 30, 2021</v>
          </cell>
          <cell r="P22" t="str">
            <v>Volume for the Nine Months ended September 30, 2020</v>
          </cell>
        </row>
        <row r="23">
          <cell r="A23">
            <v>10</v>
          </cell>
          <cell r="B23" t="str">
            <v>October</v>
          </cell>
          <cell r="C23">
            <v>31</v>
          </cell>
          <cell r="D23" t="str">
            <v>Ten</v>
          </cell>
          <cell r="E23" t="str">
            <v>Months</v>
          </cell>
          <cell r="F23" t="str">
            <v>For the Ten Months ended October 31, 2021 and 2020</v>
          </cell>
          <cell r="G23" t="str">
            <v xml:space="preserve">For the Ten Months ended </v>
          </cell>
          <cell r="H23" t="str">
            <v xml:space="preserve">Average customers for the Ten Months ended </v>
          </cell>
          <cell r="I23" t="str">
            <v>Actual customers for the Month of October 2021</v>
          </cell>
          <cell r="J23" t="str">
            <v>Actual customers for the Month of October 2020</v>
          </cell>
          <cell r="K23" t="str">
            <v>Average customers for the Ten Months ended October 31, 2021</v>
          </cell>
          <cell r="L23" t="str">
            <v>Average customers for the Ten Months ended October 31, 2020</v>
          </cell>
          <cell r="M23" t="str">
            <v>Volume for the Month of October 2021</v>
          </cell>
          <cell r="N23" t="str">
            <v>Volume for the Month of October 2020</v>
          </cell>
          <cell r="O23" t="str">
            <v>Volume for the Ten Months ended October 31, 2021</v>
          </cell>
          <cell r="P23" t="str">
            <v>Volume for the Ten Months ended October 31, 2020</v>
          </cell>
        </row>
        <row r="24">
          <cell r="A24">
            <v>11</v>
          </cell>
          <cell r="B24" t="str">
            <v>November</v>
          </cell>
          <cell r="C24">
            <v>30</v>
          </cell>
          <cell r="D24" t="str">
            <v>Eleven</v>
          </cell>
          <cell r="E24" t="str">
            <v>Months</v>
          </cell>
          <cell r="F24" t="str">
            <v>For the Eleven Months ended November 30, 2021 and 2020</v>
          </cell>
          <cell r="G24" t="str">
            <v xml:space="preserve">For the Eleven Months ended </v>
          </cell>
          <cell r="H24" t="str">
            <v xml:space="preserve">Average customers for the Eleven Months ended </v>
          </cell>
          <cell r="I24" t="str">
            <v>Actual customers for the Month of November 2021</v>
          </cell>
          <cell r="J24" t="str">
            <v>Actual customers for the Month of November 2020</v>
          </cell>
          <cell r="K24" t="str">
            <v>Average customers for the Eleven Months ended November 30, 2021</v>
          </cell>
          <cell r="L24" t="str">
            <v>Average customers for the Eleven Months ended November 30, 2020</v>
          </cell>
          <cell r="M24" t="str">
            <v>Volume for the Month of November 2021</v>
          </cell>
          <cell r="N24" t="str">
            <v>Volume for the Month of November 2020</v>
          </cell>
          <cell r="O24" t="str">
            <v>Volume for the Eleven Months ended November 30, 2021</v>
          </cell>
          <cell r="P24" t="str">
            <v>Volume for the Eleven Months ended November 30, 2020</v>
          </cell>
        </row>
        <row r="25">
          <cell r="A25">
            <v>12</v>
          </cell>
          <cell r="B25" t="str">
            <v>December</v>
          </cell>
          <cell r="C25">
            <v>31</v>
          </cell>
          <cell r="D25" t="str">
            <v>Twelve</v>
          </cell>
          <cell r="E25" t="str">
            <v>Months</v>
          </cell>
          <cell r="F25" t="str">
            <v>For the Twelve Months ended December 31, 2021 and 2020</v>
          </cell>
          <cell r="G25" t="str">
            <v xml:space="preserve">For the Twelve Months ended </v>
          </cell>
          <cell r="H25" t="str">
            <v xml:space="preserve">Average customers for the Twelve Months ended </v>
          </cell>
          <cell r="I25" t="str">
            <v>Actual customers for the Month of December 2021</v>
          </cell>
          <cell r="J25" t="str">
            <v>Actual customers for the Month of December 2020</v>
          </cell>
          <cell r="K25" t="str">
            <v>Average customers for the Twelve Months ended December 31, 2021</v>
          </cell>
          <cell r="L25" t="str">
            <v>Average customers for the Twelve Months ended December 31, 2020</v>
          </cell>
          <cell r="M25" t="str">
            <v>Volume for the Month of December 2021</v>
          </cell>
          <cell r="N25" t="str">
            <v>Volume for the Month of December 2020</v>
          </cell>
          <cell r="O25" t="str">
            <v>Volume for the Twelve Months ended December 31, 2021</v>
          </cell>
          <cell r="P25" t="str">
            <v>Volume for the Twelve Months ended December 31, 2020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3">
          <cell r="G3" t="str">
            <v>For the Eleven Months ended November 30, 2021 and 2020</v>
          </cell>
        </row>
      </sheetData>
      <sheetData sheetId="7" refreshError="1"/>
      <sheetData sheetId="8" refreshError="1"/>
      <sheetData sheetId="9" refreshError="1"/>
      <sheetData sheetId="10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59736</v>
          </cell>
          <cell r="E5">
            <v>58413</v>
          </cell>
          <cell r="F5">
            <v>58662</v>
          </cell>
          <cell r="G5">
            <v>58961</v>
          </cell>
          <cell r="H5">
            <v>59295</v>
          </cell>
          <cell r="I5">
            <v>59394</v>
          </cell>
          <cell r="J5">
            <v>59603</v>
          </cell>
          <cell r="K5">
            <v>59810</v>
          </cell>
          <cell r="L5">
            <v>60158</v>
          </cell>
          <cell r="M5">
            <v>60442</v>
          </cell>
          <cell r="N5">
            <v>60824</v>
          </cell>
          <cell r="O5">
            <v>61534</v>
          </cell>
          <cell r="T5">
            <v>2</v>
          </cell>
          <cell r="U5" t="str">
            <v>Residential</v>
          </cell>
          <cell r="V5">
            <v>61751</v>
          </cell>
          <cell r="W5">
            <v>679262</v>
          </cell>
          <cell r="X5">
            <v>55404</v>
          </cell>
          <cell r="Y5">
            <v>55605</v>
          </cell>
          <cell r="Z5">
            <v>55794</v>
          </cell>
          <cell r="AA5">
            <v>56100</v>
          </cell>
          <cell r="AB5">
            <v>56302</v>
          </cell>
          <cell r="AC5">
            <v>56460</v>
          </cell>
          <cell r="AD5">
            <v>56576</v>
          </cell>
          <cell r="AE5">
            <v>56806</v>
          </cell>
          <cell r="AF5">
            <v>57057</v>
          </cell>
          <cell r="AG5">
            <v>57356</v>
          </cell>
          <cell r="AH5">
            <v>57713</v>
          </cell>
          <cell r="AI5">
            <v>58089</v>
          </cell>
        </row>
        <row r="6">
          <cell r="A6">
            <v>3</v>
          </cell>
          <cell r="B6" t="str">
            <v>Commercial</v>
          </cell>
          <cell r="D6">
            <v>4207.909090909091</v>
          </cell>
          <cell r="E6">
            <v>4268</v>
          </cell>
          <cell r="F6">
            <v>4266</v>
          </cell>
          <cell r="G6">
            <v>4289</v>
          </cell>
          <cell r="H6">
            <v>4261</v>
          </cell>
          <cell r="I6">
            <v>4225</v>
          </cell>
          <cell r="J6">
            <v>4188</v>
          </cell>
          <cell r="K6">
            <v>4180</v>
          </cell>
          <cell r="L6">
            <v>4155</v>
          </cell>
          <cell r="M6">
            <v>4140</v>
          </cell>
          <cell r="N6">
            <v>4148</v>
          </cell>
          <cell r="O6">
            <v>4167</v>
          </cell>
          <cell r="T6">
            <v>3</v>
          </cell>
          <cell r="U6" t="str">
            <v>Commercial</v>
          </cell>
          <cell r="V6">
            <v>4586</v>
          </cell>
          <cell r="W6">
            <v>50450</v>
          </cell>
          <cell r="X6">
            <v>4223</v>
          </cell>
          <cell r="Y6">
            <v>4230</v>
          </cell>
          <cell r="Z6">
            <v>4245</v>
          </cell>
          <cell r="AA6">
            <v>4214</v>
          </cell>
          <cell r="AB6">
            <v>4204</v>
          </cell>
          <cell r="AC6">
            <v>4186</v>
          </cell>
          <cell r="AD6">
            <v>4178</v>
          </cell>
          <cell r="AE6">
            <v>4167</v>
          </cell>
          <cell r="AF6">
            <v>4167</v>
          </cell>
          <cell r="AG6">
            <v>4178</v>
          </cell>
          <cell r="AH6">
            <v>4204</v>
          </cell>
          <cell r="AI6">
            <v>4254</v>
          </cell>
        </row>
        <row r="7">
          <cell r="A7">
            <v>4</v>
          </cell>
          <cell r="B7" t="str">
            <v xml:space="preserve">Industrial </v>
          </cell>
          <cell r="D7">
            <v>97.090909090909093</v>
          </cell>
          <cell r="E7">
            <v>97</v>
          </cell>
          <cell r="F7">
            <v>97</v>
          </cell>
          <cell r="G7">
            <v>97</v>
          </cell>
          <cell r="H7">
            <v>97</v>
          </cell>
          <cell r="I7">
            <v>97</v>
          </cell>
          <cell r="J7">
            <v>97</v>
          </cell>
          <cell r="K7">
            <v>97</v>
          </cell>
          <cell r="L7">
            <v>97</v>
          </cell>
          <cell r="M7">
            <v>97</v>
          </cell>
          <cell r="N7">
            <v>97</v>
          </cell>
          <cell r="O7">
            <v>98</v>
          </cell>
          <cell r="T7">
            <v>4</v>
          </cell>
          <cell r="U7" t="str">
            <v xml:space="preserve">Industrial </v>
          </cell>
          <cell r="V7">
            <v>103</v>
          </cell>
          <cell r="W7">
            <v>1138</v>
          </cell>
          <cell r="X7">
            <v>95</v>
          </cell>
          <cell r="Y7">
            <v>95</v>
          </cell>
          <cell r="Z7">
            <v>94</v>
          </cell>
          <cell r="AA7">
            <v>95</v>
          </cell>
          <cell r="AB7">
            <v>95</v>
          </cell>
          <cell r="AC7">
            <v>97</v>
          </cell>
          <cell r="AD7">
            <v>93</v>
          </cell>
          <cell r="AE7">
            <v>93</v>
          </cell>
          <cell r="AF7">
            <v>93</v>
          </cell>
          <cell r="AG7">
            <v>95</v>
          </cell>
          <cell r="AH7">
            <v>96</v>
          </cell>
          <cell r="AI7">
            <v>97</v>
          </cell>
        </row>
        <row r="8">
          <cell r="A8">
            <v>5</v>
          </cell>
          <cell r="B8" t="str">
            <v>Other</v>
          </cell>
          <cell r="D8">
            <v>5.4545454545454541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6</v>
          </cell>
          <cell r="J8">
            <v>6</v>
          </cell>
          <cell r="K8">
            <v>6</v>
          </cell>
          <cell r="L8">
            <v>6</v>
          </cell>
          <cell r="M8">
            <v>4</v>
          </cell>
          <cell r="N8">
            <v>4</v>
          </cell>
          <cell r="O8">
            <v>4</v>
          </cell>
          <cell r="T8">
            <v>5</v>
          </cell>
          <cell r="U8" t="str">
            <v xml:space="preserve">Interruptible </v>
          </cell>
          <cell r="V8">
            <v>17</v>
          </cell>
          <cell r="W8">
            <v>189</v>
          </cell>
          <cell r="X8">
            <v>21</v>
          </cell>
          <cell r="Y8">
            <v>15</v>
          </cell>
          <cell r="Z8">
            <v>17</v>
          </cell>
          <cell r="AA8">
            <v>9</v>
          </cell>
          <cell r="AB8">
            <v>15</v>
          </cell>
          <cell r="AC8">
            <v>23</v>
          </cell>
          <cell r="AD8">
            <v>21</v>
          </cell>
          <cell r="AE8">
            <v>17</v>
          </cell>
          <cell r="AF8">
            <v>24</v>
          </cell>
          <cell r="AG8">
            <v>19</v>
          </cell>
          <cell r="AH8">
            <v>4</v>
          </cell>
          <cell r="AI8">
            <v>4</v>
          </cell>
        </row>
        <row r="9">
          <cell r="A9">
            <v>6</v>
          </cell>
          <cell r="B9" t="str">
            <v>Total customers</v>
          </cell>
          <cell r="D9">
            <v>64046.454545454544</v>
          </cell>
          <cell r="E9">
            <v>62784</v>
          </cell>
          <cell r="F9">
            <v>63031</v>
          </cell>
          <cell r="G9">
            <v>63353</v>
          </cell>
          <cell r="H9">
            <v>63659</v>
          </cell>
          <cell r="I9">
            <v>63722</v>
          </cell>
          <cell r="J9">
            <v>63894</v>
          </cell>
          <cell r="K9">
            <v>64093</v>
          </cell>
          <cell r="L9">
            <v>64416</v>
          </cell>
          <cell r="M9">
            <v>64683</v>
          </cell>
          <cell r="N9">
            <v>65073</v>
          </cell>
          <cell r="O9">
            <v>65803</v>
          </cell>
          <cell r="P9">
            <v>0</v>
          </cell>
          <cell r="T9">
            <v>6</v>
          </cell>
          <cell r="U9" t="str">
            <v>Total customers</v>
          </cell>
          <cell r="V9">
            <v>66457</v>
          </cell>
          <cell r="W9">
            <v>731039</v>
          </cell>
          <cell r="X9">
            <v>59743</v>
          </cell>
          <cell r="Y9">
            <v>59945</v>
          </cell>
          <cell r="Z9">
            <v>60150</v>
          </cell>
          <cell r="AA9">
            <v>60418</v>
          </cell>
          <cell r="AB9">
            <v>60616</v>
          </cell>
          <cell r="AC9">
            <v>60766</v>
          </cell>
          <cell r="AD9">
            <v>60868</v>
          </cell>
          <cell r="AE9">
            <v>61083</v>
          </cell>
          <cell r="AF9">
            <v>61341</v>
          </cell>
          <cell r="AG9">
            <v>61648</v>
          </cell>
          <cell r="AH9">
            <v>62017</v>
          </cell>
          <cell r="AI9">
            <v>62444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(Mcfs)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2824452</v>
          </cell>
          <cell r="E12">
            <v>636082</v>
          </cell>
          <cell r="F12">
            <v>679394</v>
          </cell>
          <cell r="G12">
            <v>566614</v>
          </cell>
          <cell r="H12">
            <v>290139</v>
          </cell>
          <cell r="I12">
            <v>149701</v>
          </cell>
          <cell r="J12">
            <v>78449</v>
          </cell>
          <cell r="K12">
            <v>56524</v>
          </cell>
          <cell r="L12">
            <v>50913</v>
          </cell>
          <cell r="M12">
            <v>50415</v>
          </cell>
          <cell r="N12">
            <v>59085</v>
          </cell>
          <cell r="O12">
            <v>207136</v>
          </cell>
          <cell r="T12">
            <v>9</v>
          </cell>
          <cell r="U12" t="str">
            <v>Residential</v>
          </cell>
          <cell r="W12">
            <v>2809694</v>
          </cell>
          <cell r="X12">
            <v>542160</v>
          </cell>
          <cell r="Y12">
            <v>513289</v>
          </cell>
          <cell r="Z12">
            <v>424355</v>
          </cell>
          <cell r="AA12">
            <v>272873</v>
          </cell>
          <cell r="AB12">
            <v>217847</v>
          </cell>
          <cell r="AC12">
            <v>89659</v>
          </cell>
          <cell r="AD12">
            <v>53768</v>
          </cell>
          <cell r="AE12">
            <v>49625</v>
          </cell>
          <cell r="AF12">
            <v>48375</v>
          </cell>
          <cell r="AG12">
            <v>68075</v>
          </cell>
          <cell r="AH12">
            <v>171614</v>
          </cell>
          <cell r="AI12">
            <v>358054</v>
          </cell>
        </row>
        <row r="13">
          <cell r="A13">
            <v>10</v>
          </cell>
          <cell r="B13" t="str">
            <v>Commercial</v>
          </cell>
          <cell r="D13">
            <v>2109091</v>
          </cell>
          <cell r="E13">
            <v>390870</v>
          </cell>
          <cell r="F13">
            <v>409302</v>
          </cell>
          <cell r="G13">
            <v>329318</v>
          </cell>
          <cell r="H13">
            <v>202041</v>
          </cell>
          <cell r="I13">
            <v>118700</v>
          </cell>
          <cell r="J13">
            <v>98731</v>
          </cell>
          <cell r="K13">
            <v>91669</v>
          </cell>
          <cell r="L13">
            <v>88648</v>
          </cell>
          <cell r="M13">
            <v>91474</v>
          </cell>
          <cell r="N13">
            <v>111417</v>
          </cell>
          <cell r="O13">
            <v>176921</v>
          </cell>
          <cell r="T13">
            <v>10</v>
          </cell>
          <cell r="U13" t="str">
            <v>Commercial</v>
          </cell>
          <cell r="W13">
            <v>2171122</v>
          </cell>
          <cell r="X13">
            <v>347748</v>
          </cell>
          <cell r="Y13">
            <v>333837</v>
          </cell>
          <cell r="Z13">
            <v>269915</v>
          </cell>
          <cell r="AA13">
            <v>189449</v>
          </cell>
          <cell r="AB13">
            <v>137947</v>
          </cell>
          <cell r="AC13">
            <v>98118</v>
          </cell>
          <cell r="AD13">
            <v>82653</v>
          </cell>
          <cell r="AE13">
            <v>78042</v>
          </cell>
          <cell r="AF13">
            <v>88901</v>
          </cell>
          <cell r="AG13">
            <v>115168</v>
          </cell>
          <cell r="AH13">
            <v>160282</v>
          </cell>
          <cell r="AI13">
            <v>269062</v>
          </cell>
        </row>
        <row r="14">
          <cell r="A14">
            <v>11</v>
          </cell>
          <cell r="B14" t="str">
            <v xml:space="preserve">Industrial </v>
          </cell>
          <cell r="D14">
            <v>2651395</v>
          </cell>
          <cell r="E14">
            <v>286368</v>
          </cell>
          <cell r="F14">
            <v>259261</v>
          </cell>
          <cell r="G14">
            <v>267529</v>
          </cell>
          <cell r="H14">
            <v>258747</v>
          </cell>
          <cell r="I14">
            <v>223146</v>
          </cell>
          <cell r="J14">
            <v>215767</v>
          </cell>
          <cell r="K14">
            <v>207456</v>
          </cell>
          <cell r="L14">
            <v>207659</v>
          </cell>
          <cell r="M14">
            <v>238846</v>
          </cell>
          <cell r="N14">
            <v>251909</v>
          </cell>
          <cell r="O14">
            <v>234707</v>
          </cell>
          <cell r="T14">
            <v>11</v>
          </cell>
          <cell r="U14" t="str">
            <v xml:space="preserve">Industrial </v>
          </cell>
          <cell r="W14">
            <v>2887403</v>
          </cell>
          <cell r="X14">
            <v>284932</v>
          </cell>
          <cell r="Y14">
            <v>269390</v>
          </cell>
          <cell r="Z14">
            <v>263171</v>
          </cell>
          <cell r="AA14">
            <v>234948</v>
          </cell>
          <cell r="AB14">
            <v>217298</v>
          </cell>
          <cell r="AC14">
            <v>219366</v>
          </cell>
          <cell r="AD14">
            <v>206146</v>
          </cell>
          <cell r="AE14">
            <v>187200</v>
          </cell>
          <cell r="AF14">
            <v>231134</v>
          </cell>
          <cell r="AG14">
            <v>287171</v>
          </cell>
          <cell r="AH14">
            <v>221926</v>
          </cell>
          <cell r="AI14">
            <v>264721</v>
          </cell>
        </row>
        <row r="15">
          <cell r="A15">
            <v>12</v>
          </cell>
          <cell r="B15" t="str">
            <v>Other</v>
          </cell>
          <cell r="D15">
            <v>269040</v>
          </cell>
          <cell r="E15">
            <v>32664</v>
          </cell>
          <cell r="F15">
            <v>27199</v>
          </cell>
          <cell r="G15">
            <v>25580</v>
          </cell>
          <cell r="H15">
            <v>25071</v>
          </cell>
          <cell r="I15">
            <v>21796</v>
          </cell>
          <cell r="J15">
            <v>21408</v>
          </cell>
          <cell r="K15">
            <v>24991</v>
          </cell>
          <cell r="L15">
            <v>20567</v>
          </cell>
          <cell r="M15">
            <v>21458</v>
          </cell>
          <cell r="N15">
            <v>22394</v>
          </cell>
          <cell r="O15">
            <v>25912</v>
          </cell>
          <cell r="T15">
            <v>12</v>
          </cell>
          <cell r="U15" t="str">
            <v xml:space="preserve">Interruptible </v>
          </cell>
          <cell r="W15">
            <v>260375</v>
          </cell>
          <cell r="X15">
            <v>26758</v>
          </cell>
          <cell r="Y15">
            <v>25205</v>
          </cell>
          <cell r="Z15">
            <v>22180</v>
          </cell>
          <cell r="AA15">
            <v>21700</v>
          </cell>
          <cell r="AB15">
            <v>19317</v>
          </cell>
          <cell r="AC15">
            <v>22639</v>
          </cell>
          <cell r="AD15">
            <v>18699</v>
          </cell>
          <cell r="AE15">
            <v>15278</v>
          </cell>
          <cell r="AF15">
            <v>17306</v>
          </cell>
          <cell r="AG15">
            <v>22028</v>
          </cell>
          <cell r="AH15">
            <v>21708</v>
          </cell>
          <cell r="AI15">
            <v>27557</v>
          </cell>
        </row>
        <row r="16">
          <cell r="A16">
            <v>13</v>
          </cell>
          <cell r="B16" t="str">
            <v>Total Volume</v>
          </cell>
          <cell r="D16">
            <v>7853978</v>
          </cell>
          <cell r="E16">
            <v>1345984</v>
          </cell>
          <cell r="F16">
            <v>1375156</v>
          </cell>
          <cell r="G16">
            <v>1189041</v>
          </cell>
          <cell r="H16">
            <v>775998</v>
          </cell>
          <cell r="I16">
            <v>513343</v>
          </cell>
          <cell r="J16">
            <v>414355</v>
          </cell>
          <cell r="K16">
            <v>380640</v>
          </cell>
          <cell r="L16">
            <v>367787</v>
          </cell>
          <cell r="M16">
            <v>402193</v>
          </cell>
          <cell r="N16">
            <v>444805</v>
          </cell>
          <cell r="O16">
            <v>644676</v>
          </cell>
          <cell r="P16">
            <v>0</v>
          </cell>
          <cell r="T16">
            <v>13</v>
          </cell>
          <cell r="U16" t="str">
            <v>Total Deliveries</v>
          </cell>
          <cell r="W16">
            <v>8128594</v>
          </cell>
          <cell r="X16">
            <v>1201598</v>
          </cell>
          <cell r="Y16">
            <v>1141721</v>
          </cell>
          <cell r="Z16">
            <v>979621</v>
          </cell>
          <cell r="AA16">
            <v>718970</v>
          </cell>
          <cell r="AB16">
            <v>592409</v>
          </cell>
          <cell r="AC16">
            <v>429782</v>
          </cell>
          <cell r="AD16">
            <v>361266</v>
          </cell>
          <cell r="AE16">
            <v>330145</v>
          </cell>
          <cell r="AF16">
            <v>385716</v>
          </cell>
          <cell r="AG16">
            <v>492442</v>
          </cell>
          <cell r="AH16">
            <v>575530</v>
          </cell>
          <cell r="AI16">
            <v>919394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1.035984</v>
          </cell>
          <cell r="I18">
            <v>1.0363309999999999</v>
          </cell>
          <cell r="J18">
            <v>1.0378799999999999</v>
          </cell>
          <cell r="K18">
            <v>1.0355460000000001</v>
          </cell>
          <cell r="L18">
            <v>1.035309</v>
          </cell>
          <cell r="M18">
            <v>1.0329710000000001</v>
          </cell>
          <cell r="N18">
            <v>1.0365549999999999</v>
          </cell>
          <cell r="O18">
            <v>0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>Volume - 2021 in (Dts)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 xml:space="preserve">Volume - 2020 in (Dts) 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2712709</v>
          </cell>
          <cell r="E21">
            <v>659626</v>
          </cell>
          <cell r="F21">
            <v>703652</v>
          </cell>
          <cell r="G21">
            <v>587847</v>
          </cell>
          <cell r="H21">
            <v>300579</v>
          </cell>
          <cell r="I21">
            <v>155140</v>
          </cell>
          <cell r="J21">
            <v>81299</v>
          </cell>
          <cell r="K21">
            <v>58533</v>
          </cell>
          <cell r="L21">
            <v>52711</v>
          </cell>
          <cell r="M21">
            <v>52077</v>
          </cell>
          <cell r="N21">
            <v>61245</v>
          </cell>
          <cell r="O21">
            <v>0</v>
          </cell>
          <cell r="P21">
            <v>0</v>
          </cell>
          <cell r="T21">
            <v>18</v>
          </cell>
          <cell r="U21" t="str">
            <v>Residential</v>
          </cell>
          <cell r="W21">
            <v>2915073</v>
          </cell>
          <cell r="X21">
            <v>561966</v>
          </cell>
          <cell r="Y21">
            <v>532849</v>
          </cell>
          <cell r="Z21">
            <v>440294</v>
          </cell>
          <cell r="AA21">
            <v>283434</v>
          </cell>
          <cell r="AB21">
            <v>226014</v>
          </cell>
          <cell r="AC21">
            <v>92901</v>
          </cell>
          <cell r="AD21">
            <v>55591</v>
          </cell>
          <cell r="AE21">
            <v>51298</v>
          </cell>
          <cell r="AF21">
            <v>50224</v>
          </cell>
          <cell r="AG21">
            <v>70400</v>
          </cell>
          <cell r="AH21">
            <v>178058</v>
          </cell>
          <cell r="AI21">
            <v>372044</v>
          </cell>
        </row>
        <row r="22">
          <cell r="A22">
            <v>19</v>
          </cell>
          <cell r="B22" t="str">
            <v>Commercial</v>
          </cell>
          <cell r="D22">
            <v>2002239</v>
          </cell>
          <cell r="E22">
            <v>405338</v>
          </cell>
          <cell r="F22">
            <v>423916</v>
          </cell>
          <cell r="G22">
            <v>341659</v>
          </cell>
          <cell r="H22">
            <v>209311</v>
          </cell>
          <cell r="I22">
            <v>123012</v>
          </cell>
          <cell r="J22">
            <v>102318</v>
          </cell>
          <cell r="K22">
            <v>94927</v>
          </cell>
          <cell r="L22">
            <v>91778</v>
          </cell>
          <cell r="M22">
            <v>94490</v>
          </cell>
          <cell r="N22">
            <v>115490</v>
          </cell>
          <cell r="O22">
            <v>0</v>
          </cell>
          <cell r="P22">
            <v>0</v>
          </cell>
          <cell r="T22">
            <v>19</v>
          </cell>
          <cell r="U22" t="str">
            <v>Commercial</v>
          </cell>
          <cell r="W22">
            <v>2252033</v>
          </cell>
          <cell r="X22">
            <v>360452</v>
          </cell>
          <cell r="Y22">
            <v>346559</v>
          </cell>
          <cell r="Z22">
            <v>280053</v>
          </cell>
          <cell r="AA22">
            <v>196781</v>
          </cell>
          <cell r="AB22">
            <v>143118</v>
          </cell>
          <cell r="AC22">
            <v>101666</v>
          </cell>
          <cell r="AD22">
            <v>85456</v>
          </cell>
          <cell r="AE22">
            <v>80673</v>
          </cell>
          <cell r="AF22">
            <v>92299</v>
          </cell>
          <cell r="AG22">
            <v>119101</v>
          </cell>
          <cell r="AH22">
            <v>166300</v>
          </cell>
          <cell r="AI22">
            <v>279575</v>
          </cell>
        </row>
        <row r="23">
          <cell r="A23">
            <v>20</v>
          </cell>
          <cell r="B23" t="str">
            <v xml:space="preserve">Industrial </v>
          </cell>
          <cell r="D23">
            <v>2503617</v>
          </cell>
          <cell r="E23">
            <v>296968</v>
          </cell>
          <cell r="F23">
            <v>268518</v>
          </cell>
          <cell r="G23">
            <v>277554</v>
          </cell>
          <cell r="H23">
            <v>268058</v>
          </cell>
          <cell r="I23">
            <v>231253</v>
          </cell>
          <cell r="J23">
            <v>223606</v>
          </cell>
          <cell r="K23">
            <v>214830</v>
          </cell>
          <cell r="L23">
            <v>214991</v>
          </cell>
          <cell r="M23">
            <v>246721</v>
          </cell>
          <cell r="N23">
            <v>261118</v>
          </cell>
          <cell r="O23">
            <v>0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2993754</v>
          </cell>
          <cell r="X23">
            <v>295341</v>
          </cell>
          <cell r="Y23">
            <v>279656</v>
          </cell>
          <cell r="Z23">
            <v>273056</v>
          </cell>
          <cell r="AA23">
            <v>244041</v>
          </cell>
          <cell r="AB23">
            <v>225444</v>
          </cell>
          <cell r="AC23">
            <v>227298</v>
          </cell>
          <cell r="AD23">
            <v>213136</v>
          </cell>
          <cell r="AE23">
            <v>193512</v>
          </cell>
          <cell r="AF23">
            <v>239968</v>
          </cell>
          <cell r="AG23">
            <v>296979</v>
          </cell>
          <cell r="AH23">
            <v>230259</v>
          </cell>
          <cell r="AI23">
            <v>275064</v>
          </cell>
        </row>
        <row r="24">
          <cell r="A24">
            <v>21</v>
          </cell>
          <cell r="B24" t="str">
            <v>Other</v>
          </cell>
          <cell r="D24">
            <v>251879</v>
          </cell>
          <cell r="E24">
            <v>33873</v>
          </cell>
          <cell r="F24">
            <v>28170</v>
          </cell>
          <cell r="G24">
            <v>26539</v>
          </cell>
          <cell r="H24">
            <v>25973</v>
          </cell>
          <cell r="I24">
            <v>22588</v>
          </cell>
          <cell r="J24">
            <v>22186</v>
          </cell>
          <cell r="K24">
            <v>25879</v>
          </cell>
          <cell r="L24">
            <v>21293</v>
          </cell>
          <cell r="M24">
            <v>22165</v>
          </cell>
          <cell r="N24">
            <v>23213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269983</v>
          </cell>
          <cell r="X24">
            <v>27736</v>
          </cell>
          <cell r="Y24">
            <v>26165</v>
          </cell>
          <cell r="Z24">
            <v>23013</v>
          </cell>
          <cell r="AA24">
            <v>22540</v>
          </cell>
          <cell r="AB24">
            <v>20041</v>
          </cell>
          <cell r="AC24">
            <v>23458</v>
          </cell>
          <cell r="AD24">
            <v>19333</v>
          </cell>
          <cell r="AE24">
            <v>15793</v>
          </cell>
          <cell r="AF24">
            <v>17967</v>
          </cell>
          <cell r="AG24">
            <v>22780</v>
          </cell>
          <cell r="AH24">
            <v>22523</v>
          </cell>
          <cell r="AI24">
            <v>28634</v>
          </cell>
        </row>
        <row r="25">
          <cell r="A25">
            <v>22</v>
          </cell>
          <cell r="B25" t="str">
            <v>Total Volume</v>
          </cell>
          <cell r="D25">
            <v>7470444</v>
          </cell>
          <cell r="E25">
            <v>1395805</v>
          </cell>
          <cell r="F25">
            <v>1424256</v>
          </cell>
          <cell r="G25">
            <v>1233599</v>
          </cell>
          <cell r="H25">
            <v>803921</v>
          </cell>
          <cell r="I25">
            <v>531993</v>
          </cell>
          <cell r="J25">
            <v>429409</v>
          </cell>
          <cell r="K25">
            <v>394169</v>
          </cell>
          <cell r="L25">
            <v>380773</v>
          </cell>
          <cell r="M25">
            <v>415453</v>
          </cell>
          <cell r="N25">
            <v>461066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W25">
            <v>8430843</v>
          </cell>
          <cell r="X25">
            <v>1245495</v>
          </cell>
          <cell r="Y25">
            <v>1185229</v>
          </cell>
          <cell r="Z25">
            <v>1016416</v>
          </cell>
          <cell r="AA25">
            <v>746796</v>
          </cell>
          <cell r="AB25">
            <v>614617</v>
          </cell>
          <cell r="AC25">
            <v>445323</v>
          </cell>
          <cell r="AD25">
            <v>373516</v>
          </cell>
          <cell r="AE25">
            <v>341276</v>
          </cell>
          <cell r="AF25">
            <v>400458</v>
          </cell>
          <cell r="AG25">
            <v>509260</v>
          </cell>
          <cell r="AH25">
            <v>597140</v>
          </cell>
          <cell r="AI25">
            <v>955317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62924</v>
          </cell>
          <cell r="F28">
            <v>63255</v>
          </cell>
          <cell r="G28">
            <v>63538</v>
          </cell>
          <cell r="H28">
            <v>63612</v>
          </cell>
          <cell r="I28">
            <v>63611</v>
          </cell>
          <cell r="J28">
            <v>63761</v>
          </cell>
          <cell r="K28">
            <v>64063</v>
          </cell>
          <cell r="L28">
            <v>64444</v>
          </cell>
          <cell r="M28">
            <v>64882</v>
          </cell>
          <cell r="N28">
            <v>65536</v>
          </cell>
          <cell r="O28">
            <v>66401</v>
          </cell>
          <cell r="P28">
            <v>67076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1308536</v>
          </cell>
          <cell r="F29">
            <v>1289265</v>
          </cell>
          <cell r="G29">
            <v>1101148</v>
          </cell>
          <cell r="H29">
            <v>773470</v>
          </cell>
          <cell r="I29">
            <v>538973</v>
          </cell>
          <cell r="J29">
            <v>382052</v>
          </cell>
          <cell r="K29">
            <v>360547</v>
          </cell>
          <cell r="L29">
            <v>371510</v>
          </cell>
          <cell r="M29">
            <v>412351</v>
          </cell>
          <cell r="N29">
            <v>495688</v>
          </cell>
          <cell r="O29">
            <v>737677</v>
          </cell>
          <cell r="P29">
            <v>1127530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1354334.76</v>
          </cell>
          <cell r="F30">
            <v>1334389.2749999999</v>
          </cell>
          <cell r="G30">
            <v>1139688.18</v>
          </cell>
          <cell r="H30">
            <v>800541.45</v>
          </cell>
          <cell r="I30">
            <v>557837.05499999993</v>
          </cell>
          <cell r="J30">
            <v>395423.81999999995</v>
          </cell>
          <cell r="K30">
            <v>373166.14499999996</v>
          </cell>
          <cell r="L30">
            <v>384512.85</v>
          </cell>
          <cell r="M30">
            <v>426783.28499999997</v>
          </cell>
          <cell r="N30">
            <v>513037.07999999996</v>
          </cell>
          <cell r="O30">
            <v>763495.69499999995</v>
          </cell>
          <cell r="P30">
            <v>1166993.5499999998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58413</v>
          </cell>
          <cell r="F34">
            <v>58538</v>
          </cell>
          <cell r="G34">
            <v>58679</v>
          </cell>
          <cell r="H34">
            <v>58833</v>
          </cell>
          <cell r="I34">
            <v>58945</v>
          </cell>
          <cell r="J34">
            <v>59055</v>
          </cell>
          <cell r="K34">
            <v>59163</v>
          </cell>
          <cell r="L34">
            <v>59287</v>
          </cell>
          <cell r="M34">
            <v>59415</v>
          </cell>
          <cell r="N34">
            <v>59556</v>
          </cell>
          <cell r="O34">
            <v>59736</v>
          </cell>
          <cell r="P34">
            <v>59736</v>
          </cell>
          <cell r="T34">
            <v>31</v>
          </cell>
          <cell r="U34" t="str">
            <v>Residential</v>
          </cell>
          <cell r="X34">
            <v>55404</v>
          </cell>
          <cell r="Y34">
            <v>55505</v>
          </cell>
          <cell r="Z34">
            <v>55601</v>
          </cell>
          <cell r="AA34">
            <v>55726</v>
          </cell>
          <cell r="AB34">
            <v>55841</v>
          </cell>
          <cell r="AC34">
            <v>55944</v>
          </cell>
          <cell r="AD34">
            <v>56034</v>
          </cell>
          <cell r="AE34">
            <v>56131</v>
          </cell>
          <cell r="AF34">
            <v>56234</v>
          </cell>
          <cell r="AG34">
            <v>56346</v>
          </cell>
          <cell r="AH34">
            <v>56470</v>
          </cell>
          <cell r="AI34">
            <v>56605</v>
          </cell>
        </row>
        <row r="35">
          <cell r="A35">
            <v>32</v>
          </cell>
          <cell r="B35" t="str">
            <v>Commercial</v>
          </cell>
          <cell r="E35">
            <v>4268</v>
          </cell>
          <cell r="F35">
            <v>4267</v>
          </cell>
          <cell r="G35">
            <v>4274</v>
          </cell>
          <cell r="H35">
            <v>4271</v>
          </cell>
          <cell r="I35">
            <v>4262</v>
          </cell>
          <cell r="J35">
            <v>4250</v>
          </cell>
          <cell r="K35">
            <v>4240</v>
          </cell>
          <cell r="L35">
            <v>4229</v>
          </cell>
          <cell r="M35">
            <v>4219</v>
          </cell>
          <cell r="N35">
            <v>4212</v>
          </cell>
          <cell r="O35">
            <v>4208</v>
          </cell>
          <cell r="P35">
            <v>4208</v>
          </cell>
          <cell r="T35">
            <v>32</v>
          </cell>
          <cell r="U35" t="str">
            <v>Commercial</v>
          </cell>
          <cell r="X35">
            <v>4223</v>
          </cell>
          <cell r="Y35">
            <v>4227</v>
          </cell>
          <cell r="Z35">
            <v>4233</v>
          </cell>
          <cell r="AA35">
            <v>4228</v>
          </cell>
          <cell r="AB35">
            <v>4223</v>
          </cell>
          <cell r="AC35">
            <v>4217</v>
          </cell>
          <cell r="AD35">
            <v>4211</v>
          </cell>
          <cell r="AE35">
            <v>4206</v>
          </cell>
          <cell r="AF35">
            <v>4202</v>
          </cell>
          <cell r="AG35">
            <v>4199</v>
          </cell>
          <cell r="AH35">
            <v>4200</v>
          </cell>
          <cell r="AI35">
            <v>4204</v>
          </cell>
        </row>
        <row r="36">
          <cell r="A36">
            <v>33</v>
          </cell>
          <cell r="B36" t="str">
            <v xml:space="preserve">Industrial </v>
          </cell>
          <cell r="E36">
            <v>97</v>
          </cell>
          <cell r="F36">
            <v>97</v>
          </cell>
          <cell r="G36">
            <v>97</v>
          </cell>
          <cell r="H36">
            <v>97</v>
          </cell>
          <cell r="I36">
            <v>97</v>
          </cell>
          <cell r="J36">
            <v>97</v>
          </cell>
          <cell r="K36">
            <v>97</v>
          </cell>
          <cell r="L36">
            <v>97</v>
          </cell>
          <cell r="M36">
            <v>97</v>
          </cell>
          <cell r="N36">
            <v>97</v>
          </cell>
          <cell r="O36">
            <v>97</v>
          </cell>
          <cell r="P36">
            <v>97</v>
          </cell>
          <cell r="T36">
            <v>33</v>
          </cell>
          <cell r="U36" t="str">
            <v xml:space="preserve">Industrial </v>
          </cell>
          <cell r="X36">
            <v>95</v>
          </cell>
          <cell r="Y36">
            <v>95</v>
          </cell>
          <cell r="Z36">
            <v>95</v>
          </cell>
          <cell r="AA36">
            <v>95</v>
          </cell>
          <cell r="AB36">
            <v>95</v>
          </cell>
          <cell r="AC36">
            <v>95</v>
          </cell>
          <cell r="AD36">
            <v>95</v>
          </cell>
          <cell r="AE36">
            <v>95</v>
          </cell>
          <cell r="AF36">
            <v>94</v>
          </cell>
          <cell r="AG36">
            <v>95</v>
          </cell>
          <cell r="AH36">
            <v>95</v>
          </cell>
          <cell r="AI36">
            <v>95</v>
          </cell>
        </row>
        <row r="37">
          <cell r="A37">
            <v>34</v>
          </cell>
          <cell r="B37" t="str">
            <v>Other</v>
          </cell>
          <cell r="E37">
            <v>6</v>
          </cell>
          <cell r="F37">
            <v>6</v>
          </cell>
          <cell r="G37">
            <v>6</v>
          </cell>
          <cell r="H37">
            <v>6</v>
          </cell>
          <cell r="I37">
            <v>6</v>
          </cell>
          <cell r="J37">
            <v>6</v>
          </cell>
          <cell r="K37">
            <v>6</v>
          </cell>
          <cell r="L37">
            <v>6</v>
          </cell>
          <cell r="M37">
            <v>6</v>
          </cell>
          <cell r="N37">
            <v>6</v>
          </cell>
          <cell r="O37">
            <v>5</v>
          </cell>
          <cell r="P37">
            <v>5</v>
          </cell>
          <cell r="T37">
            <v>34</v>
          </cell>
          <cell r="U37" t="str">
            <v>Other</v>
          </cell>
          <cell r="X37">
            <v>21</v>
          </cell>
          <cell r="Y37">
            <v>18</v>
          </cell>
          <cell r="Z37">
            <v>18</v>
          </cell>
          <cell r="AA37">
            <v>16</v>
          </cell>
          <cell r="AB37">
            <v>15</v>
          </cell>
          <cell r="AC37">
            <v>17</v>
          </cell>
          <cell r="AD37">
            <v>17</v>
          </cell>
          <cell r="AE37">
            <v>17</v>
          </cell>
          <cell r="AF37">
            <v>18</v>
          </cell>
          <cell r="AG37">
            <v>18</v>
          </cell>
          <cell r="AH37">
            <v>17</v>
          </cell>
          <cell r="AI37">
            <v>16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62784</v>
          </cell>
          <cell r="F38">
            <v>62908</v>
          </cell>
          <cell r="G38">
            <v>63056</v>
          </cell>
          <cell r="H38">
            <v>63207</v>
          </cell>
          <cell r="I38">
            <v>63310</v>
          </cell>
          <cell r="J38">
            <v>63408</v>
          </cell>
          <cell r="K38">
            <v>63506</v>
          </cell>
          <cell r="L38">
            <v>63619</v>
          </cell>
          <cell r="M38">
            <v>63737</v>
          </cell>
          <cell r="N38">
            <v>63871</v>
          </cell>
          <cell r="O38">
            <v>64046</v>
          </cell>
          <cell r="P38">
            <v>64046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59743</v>
          </cell>
          <cell r="Y38">
            <v>59845</v>
          </cell>
          <cell r="Z38">
            <v>59947</v>
          </cell>
          <cell r="AA38">
            <v>60065</v>
          </cell>
          <cell r="AB38">
            <v>60174</v>
          </cell>
          <cell r="AC38">
            <v>60273</v>
          </cell>
          <cell r="AD38">
            <v>60357</v>
          </cell>
          <cell r="AE38">
            <v>60449</v>
          </cell>
          <cell r="AF38">
            <v>60548</v>
          </cell>
          <cell r="AG38">
            <v>60658</v>
          </cell>
          <cell r="AH38">
            <v>60782</v>
          </cell>
          <cell r="AI38">
            <v>60920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636082</v>
          </cell>
          <cell r="F41">
            <v>1315476</v>
          </cell>
          <cell r="G41">
            <v>1882090</v>
          </cell>
          <cell r="H41">
            <v>2172229</v>
          </cell>
          <cell r="I41">
            <v>2321930</v>
          </cell>
          <cell r="J41">
            <v>2400379</v>
          </cell>
          <cell r="K41">
            <v>2456903</v>
          </cell>
          <cell r="L41">
            <v>2507816</v>
          </cell>
          <cell r="M41">
            <v>2558231</v>
          </cell>
          <cell r="N41">
            <v>2617316</v>
          </cell>
          <cell r="O41">
            <v>2824452</v>
          </cell>
          <cell r="P41">
            <v>2824452</v>
          </cell>
          <cell r="T41">
            <v>38</v>
          </cell>
          <cell r="U41" t="str">
            <v>Residential</v>
          </cell>
          <cell r="X41">
            <v>542160</v>
          </cell>
          <cell r="Y41">
            <v>1055449</v>
          </cell>
          <cell r="Z41">
            <v>1479804</v>
          </cell>
          <cell r="AA41">
            <v>1752677</v>
          </cell>
          <cell r="AB41">
            <v>1970524</v>
          </cell>
          <cell r="AC41">
            <v>2060183</v>
          </cell>
          <cell r="AD41">
            <v>2113951</v>
          </cell>
          <cell r="AE41">
            <v>2163576</v>
          </cell>
          <cell r="AF41">
            <v>2211951</v>
          </cell>
          <cell r="AG41">
            <v>2280026</v>
          </cell>
          <cell r="AH41">
            <v>2451640</v>
          </cell>
          <cell r="AI41">
            <v>2809694</v>
          </cell>
        </row>
        <row r="42">
          <cell r="A42">
            <v>39</v>
          </cell>
          <cell r="B42" t="str">
            <v>Commercial</v>
          </cell>
          <cell r="E42">
            <v>390870</v>
          </cell>
          <cell r="F42">
            <v>800172</v>
          </cell>
          <cell r="G42">
            <v>1129490</v>
          </cell>
          <cell r="H42">
            <v>1331531</v>
          </cell>
          <cell r="I42">
            <v>1450231</v>
          </cell>
          <cell r="J42">
            <v>1548962</v>
          </cell>
          <cell r="K42">
            <v>1640631</v>
          </cell>
          <cell r="L42">
            <v>1729279</v>
          </cell>
          <cell r="M42">
            <v>1820753</v>
          </cell>
          <cell r="N42">
            <v>1932170</v>
          </cell>
          <cell r="O42">
            <v>2109091</v>
          </cell>
          <cell r="P42">
            <v>2109091</v>
          </cell>
          <cell r="T42">
            <v>39</v>
          </cell>
          <cell r="U42" t="str">
            <v>Commercial</v>
          </cell>
          <cell r="X42">
            <v>347748</v>
          </cell>
          <cell r="Y42">
            <v>681585</v>
          </cell>
          <cell r="Z42">
            <v>951500</v>
          </cell>
          <cell r="AA42">
            <v>1140949</v>
          </cell>
          <cell r="AB42">
            <v>1278896</v>
          </cell>
          <cell r="AC42">
            <v>1377014</v>
          </cell>
          <cell r="AD42">
            <v>1459667</v>
          </cell>
          <cell r="AE42">
            <v>1537709</v>
          </cell>
          <cell r="AF42">
            <v>1626610</v>
          </cell>
          <cell r="AG42">
            <v>1741778</v>
          </cell>
          <cell r="AH42">
            <v>1902060</v>
          </cell>
          <cell r="AI42">
            <v>2171122</v>
          </cell>
        </row>
        <row r="43">
          <cell r="A43">
            <v>40</v>
          </cell>
          <cell r="B43" t="str">
            <v xml:space="preserve">Industrial </v>
          </cell>
          <cell r="E43">
            <v>286368</v>
          </cell>
          <cell r="F43">
            <v>545629</v>
          </cell>
          <cell r="G43">
            <v>813158</v>
          </cell>
          <cell r="H43">
            <v>1071905</v>
          </cell>
          <cell r="I43">
            <v>1295051</v>
          </cell>
          <cell r="J43">
            <v>1510818</v>
          </cell>
          <cell r="K43">
            <v>1718274</v>
          </cell>
          <cell r="L43">
            <v>1925933</v>
          </cell>
          <cell r="M43">
            <v>2164779</v>
          </cell>
          <cell r="N43">
            <v>2416688</v>
          </cell>
          <cell r="O43">
            <v>2651395</v>
          </cell>
          <cell r="P43">
            <v>2651395</v>
          </cell>
          <cell r="T43">
            <v>40</v>
          </cell>
          <cell r="U43" t="str">
            <v xml:space="preserve">Industrial </v>
          </cell>
          <cell r="X43">
            <v>284932</v>
          </cell>
          <cell r="Y43">
            <v>554322</v>
          </cell>
          <cell r="Z43">
            <v>817493</v>
          </cell>
          <cell r="AA43">
            <v>1052441</v>
          </cell>
          <cell r="AB43">
            <v>1269739</v>
          </cell>
          <cell r="AC43">
            <v>1489105</v>
          </cell>
          <cell r="AD43">
            <v>1695251</v>
          </cell>
          <cell r="AE43">
            <v>1882451</v>
          </cell>
          <cell r="AF43">
            <v>2113585</v>
          </cell>
          <cell r="AG43">
            <v>2400756</v>
          </cell>
          <cell r="AH43">
            <v>2622682</v>
          </cell>
          <cell r="AI43">
            <v>2887403</v>
          </cell>
        </row>
        <row r="44">
          <cell r="A44">
            <v>41</v>
          </cell>
          <cell r="B44" t="str">
            <v>Other</v>
          </cell>
          <cell r="E44">
            <v>32664</v>
          </cell>
          <cell r="F44">
            <v>59863</v>
          </cell>
          <cell r="G44">
            <v>85443</v>
          </cell>
          <cell r="H44">
            <v>110514</v>
          </cell>
          <cell r="I44">
            <v>132310</v>
          </cell>
          <cell r="J44">
            <v>153718</v>
          </cell>
          <cell r="K44">
            <v>178709</v>
          </cell>
          <cell r="L44">
            <v>199276</v>
          </cell>
          <cell r="M44">
            <v>220734</v>
          </cell>
          <cell r="N44">
            <v>243128</v>
          </cell>
          <cell r="O44">
            <v>269040</v>
          </cell>
          <cell r="P44">
            <v>269040</v>
          </cell>
          <cell r="T44">
            <v>41</v>
          </cell>
          <cell r="U44" t="str">
            <v>Other</v>
          </cell>
          <cell r="X44">
            <v>26758</v>
          </cell>
          <cell r="Y44">
            <v>51963</v>
          </cell>
          <cell r="Z44">
            <v>74143</v>
          </cell>
          <cell r="AA44">
            <v>95843</v>
          </cell>
          <cell r="AB44">
            <v>115160</v>
          </cell>
          <cell r="AC44">
            <v>137799</v>
          </cell>
          <cell r="AD44">
            <v>156498</v>
          </cell>
          <cell r="AE44">
            <v>171776</v>
          </cell>
          <cell r="AF44">
            <v>189082</v>
          </cell>
          <cell r="AG44">
            <v>211110</v>
          </cell>
          <cell r="AH44">
            <v>232818</v>
          </cell>
          <cell r="AI44">
            <v>260375</v>
          </cell>
        </row>
        <row r="45">
          <cell r="A45">
            <v>42</v>
          </cell>
          <cell r="B45" t="str">
            <v>Total Volume</v>
          </cell>
          <cell r="E45">
            <v>1345984</v>
          </cell>
          <cell r="F45">
            <v>2721140</v>
          </cell>
          <cell r="G45">
            <v>3910181</v>
          </cell>
          <cell r="H45">
            <v>4686179</v>
          </cell>
          <cell r="I45">
            <v>5199522</v>
          </cell>
          <cell r="J45">
            <v>5613877</v>
          </cell>
          <cell r="K45">
            <v>5994517</v>
          </cell>
          <cell r="L45">
            <v>6362304</v>
          </cell>
          <cell r="M45">
            <v>6764497</v>
          </cell>
          <cell r="N45">
            <v>7209302</v>
          </cell>
          <cell r="O45">
            <v>7853978</v>
          </cell>
          <cell r="P45">
            <v>7853978</v>
          </cell>
          <cell r="T45">
            <v>42</v>
          </cell>
          <cell r="U45" t="str">
            <v>Total Volume</v>
          </cell>
          <cell r="X45">
            <v>1201598</v>
          </cell>
          <cell r="Y45">
            <v>2343319</v>
          </cell>
          <cell r="Z45">
            <v>3322940</v>
          </cell>
          <cell r="AA45">
            <v>4041910</v>
          </cell>
          <cell r="AB45">
            <v>4634319</v>
          </cell>
          <cell r="AC45">
            <v>5064101</v>
          </cell>
          <cell r="AD45">
            <v>5425367</v>
          </cell>
          <cell r="AE45">
            <v>5755512</v>
          </cell>
          <cell r="AF45">
            <v>6141228</v>
          </cell>
          <cell r="AG45">
            <v>6633670</v>
          </cell>
          <cell r="AH45">
            <v>7209200</v>
          </cell>
          <cell r="AI45">
            <v>8128594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659626</v>
          </cell>
          <cell r="F48">
            <v>1363278</v>
          </cell>
          <cell r="G48">
            <v>1951125</v>
          </cell>
          <cell r="H48">
            <v>2251704</v>
          </cell>
          <cell r="I48">
            <v>2406844</v>
          </cell>
          <cell r="J48">
            <v>2488143</v>
          </cell>
          <cell r="K48">
            <v>2546676</v>
          </cell>
          <cell r="L48">
            <v>2599387</v>
          </cell>
          <cell r="M48">
            <v>2651464</v>
          </cell>
          <cell r="N48">
            <v>2712709</v>
          </cell>
          <cell r="O48">
            <v>2712709</v>
          </cell>
          <cell r="P48">
            <v>2712709</v>
          </cell>
          <cell r="T48">
            <v>45</v>
          </cell>
          <cell r="U48" t="str">
            <v>Residential</v>
          </cell>
          <cell r="W48">
            <v>23747488</v>
          </cell>
          <cell r="X48">
            <v>561966</v>
          </cell>
          <cell r="Y48">
            <v>1094815</v>
          </cell>
          <cell r="Z48">
            <v>1535109</v>
          </cell>
          <cell r="AA48">
            <v>1818543</v>
          </cell>
          <cell r="AB48">
            <v>2044557</v>
          </cell>
          <cell r="AC48">
            <v>2137458</v>
          </cell>
          <cell r="AD48">
            <v>2193049</v>
          </cell>
          <cell r="AE48">
            <v>2244347</v>
          </cell>
          <cell r="AF48">
            <v>2294571</v>
          </cell>
          <cell r="AG48">
            <v>2364971</v>
          </cell>
          <cell r="AH48">
            <v>2543029</v>
          </cell>
          <cell r="AI48">
            <v>2915073</v>
          </cell>
        </row>
        <row r="49">
          <cell r="A49">
            <v>46</v>
          </cell>
          <cell r="B49" t="str">
            <v>Commercial</v>
          </cell>
          <cell r="E49">
            <v>405338</v>
          </cell>
          <cell r="F49">
            <v>829254</v>
          </cell>
          <cell r="G49">
            <v>1170913</v>
          </cell>
          <cell r="H49">
            <v>1380224</v>
          </cell>
          <cell r="I49">
            <v>1503236</v>
          </cell>
          <cell r="J49">
            <v>1605554</v>
          </cell>
          <cell r="K49">
            <v>1700481</v>
          </cell>
          <cell r="L49">
            <v>1792259</v>
          </cell>
          <cell r="M49">
            <v>1886749</v>
          </cell>
          <cell r="N49">
            <v>2002239</v>
          </cell>
          <cell r="O49">
            <v>2002239</v>
          </cell>
          <cell r="P49">
            <v>2002239</v>
          </cell>
          <cell r="T49">
            <v>46</v>
          </cell>
          <cell r="U49" t="str">
            <v>Commercial</v>
          </cell>
          <cell r="W49">
            <v>16820513</v>
          </cell>
          <cell r="X49">
            <v>360452</v>
          </cell>
          <cell r="Y49">
            <v>707011</v>
          </cell>
          <cell r="Z49">
            <v>987064</v>
          </cell>
          <cell r="AA49">
            <v>1183845</v>
          </cell>
          <cell r="AB49">
            <v>1326963</v>
          </cell>
          <cell r="AC49">
            <v>1428629</v>
          </cell>
          <cell r="AD49">
            <v>1514085</v>
          </cell>
          <cell r="AE49">
            <v>1594758</v>
          </cell>
          <cell r="AF49">
            <v>1687057</v>
          </cell>
          <cell r="AG49">
            <v>1806158</v>
          </cell>
          <cell r="AH49">
            <v>1972458</v>
          </cell>
          <cell r="AI49">
            <v>2252033</v>
          </cell>
        </row>
        <row r="50">
          <cell r="A50">
            <v>47</v>
          </cell>
          <cell r="B50" t="str">
            <v xml:space="preserve">Industrial </v>
          </cell>
          <cell r="E50">
            <v>296968</v>
          </cell>
          <cell r="F50">
            <v>565486</v>
          </cell>
          <cell r="G50">
            <v>843040</v>
          </cell>
          <cell r="H50">
            <v>1111098</v>
          </cell>
          <cell r="I50">
            <v>1342351</v>
          </cell>
          <cell r="J50">
            <v>1565957</v>
          </cell>
          <cell r="K50">
            <v>1780787</v>
          </cell>
          <cell r="L50">
            <v>1995778</v>
          </cell>
          <cell r="M50">
            <v>2242499</v>
          </cell>
          <cell r="N50">
            <v>2503617</v>
          </cell>
          <cell r="O50">
            <v>2503617</v>
          </cell>
          <cell r="P50">
            <v>2503617</v>
          </cell>
          <cell r="T50">
            <v>47</v>
          </cell>
          <cell r="U50" t="str">
            <v xml:space="preserve">Industrial </v>
          </cell>
          <cell r="W50">
            <v>19774642</v>
          </cell>
          <cell r="X50">
            <v>295341</v>
          </cell>
          <cell r="Y50">
            <v>574997</v>
          </cell>
          <cell r="Z50">
            <v>848053</v>
          </cell>
          <cell r="AA50">
            <v>1092094</v>
          </cell>
          <cell r="AB50">
            <v>1317538</v>
          </cell>
          <cell r="AC50">
            <v>1544836</v>
          </cell>
          <cell r="AD50">
            <v>1757972</v>
          </cell>
          <cell r="AE50">
            <v>1951484</v>
          </cell>
          <cell r="AF50">
            <v>2191452</v>
          </cell>
          <cell r="AG50">
            <v>2488431</v>
          </cell>
          <cell r="AH50">
            <v>2718690</v>
          </cell>
          <cell r="AI50">
            <v>2993754</v>
          </cell>
        </row>
        <row r="51">
          <cell r="A51">
            <v>48</v>
          </cell>
          <cell r="B51" t="str">
            <v>Other</v>
          </cell>
          <cell r="E51">
            <v>33873</v>
          </cell>
          <cell r="F51">
            <v>62043</v>
          </cell>
          <cell r="G51">
            <v>88582</v>
          </cell>
          <cell r="H51">
            <v>114555</v>
          </cell>
          <cell r="I51">
            <v>137143</v>
          </cell>
          <cell r="J51">
            <v>159329</v>
          </cell>
          <cell r="K51">
            <v>185208</v>
          </cell>
          <cell r="L51">
            <v>206501</v>
          </cell>
          <cell r="M51">
            <v>228666</v>
          </cell>
          <cell r="N51">
            <v>251879</v>
          </cell>
          <cell r="O51">
            <v>251879</v>
          </cell>
          <cell r="P51">
            <v>251879</v>
          </cell>
          <cell r="T51">
            <v>48</v>
          </cell>
          <cell r="U51" t="str">
            <v>Other</v>
          </cell>
          <cell r="W51">
            <v>1787022</v>
          </cell>
          <cell r="X51">
            <v>27736</v>
          </cell>
          <cell r="Y51">
            <v>53901</v>
          </cell>
          <cell r="Z51">
            <v>76914</v>
          </cell>
          <cell r="AA51">
            <v>99454</v>
          </cell>
          <cell r="AB51">
            <v>119495</v>
          </cell>
          <cell r="AC51">
            <v>142953</v>
          </cell>
          <cell r="AD51">
            <v>162286</v>
          </cell>
          <cell r="AE51">
            <v>178079</v>
          </cell>
          <cell r="AF51">
            <v>196046</v>
          </cell>
          <cell r="AG51">
            <v>218826</v>
          </cell>
          <cell r="AH51">
            <v>241349</v>
          </cell>
          <cell r="AI51">
            <v>269983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1395805</v>
          </cell>
          <cell r="F52">
            <v>2820061</v>
          </cell>
          <cell r="G52">
            <v>4053660</v>
          </cell>
          <cell r="H52">
            <v>4857581</v>
          </cell>
          <cell r="I52">
            <v>5389574</v>
          </cell>
          <cell r="J52">
            <v>5818983</v>
          </cell>
          <cell r="K52">
            <v>6213152</v>
          </cell>
          <cell r="L52">
            <v>6593925</v>
          </cell>
          <cell r="M52">
            <v>7009378</v>
          </cell>
          <cell r="N52">
            <v>7470444</v>
          </cell>
          <cell r="O52">
            <v>7470444</v>
          </cell>
          <cell r="P52">
            <v>7470444</v>
          </cell>
          <cell r="T52">
            <v>49</v>
          </cell>
          <cell r="U52" t="str">
            <v>Total Volume</v>
          </cell>
          <cell r="W52">
            <v>62129665</v>
          </cell>
          <cell r="X52">
            <v>1245495</v>
          </cell>
          <cell r="Y52">
            <v>2430724</v>
          </cell>
          <cell r="Z52">
            <v>3447140</v>
          </cell>
          <cell r="AA52">
            <v>4193936</v>
          </cell>
          <cell r="AB52">
            <v>4808553</v>
          </cell>
          <cell r="AC52">
            <v>5253876</v>
          </cell>
          <cell r="AD52">
            <v>5627392</v>
          </cell>
          <cell r="AE52">
            <v>5968668</v>
          </cell>
          <cell r="AF52">
            <v>6369126</v>
          </cell>
          <cell r="AG52">
            <v>6878386</v>
          </cell>
          <cell r="AH52">
            <v>7475526</v>
          </cell>
          <cell r="AI52">
            <v>8430843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62924</v>
          </cell>
          <cell r="F55">
            <v>63090</v>
          </cell>
          <cell r="G55">
            <v>63239</v>
          </cell>
          <cell r="H55">
            <v>63332</v>
          </cell>
          <cell r="I55">
            <v>63388</v>
          </cell>
          <cell r="J55">
            <v>63450</v>
          </cell>
          <cell r="K55">
            <v>63538</v>
          </cell>
          <cell r="L55">
            <v>63651</v>
          </cell>
          <cell r="M55">
            <v>63788</v>
          </cell>
          <cell r="N55">
            <v>63963</v>
          </cell>
          <cell r="O55">
            <v>64184</v>
          </cell>
          <cell r="P55">
            <v>64425</v>
          </cell>
        </row>
        <row r="56">
          <cell r="A56">
            <v>53</v>
          </cell>
          <cell r="B56" t="str">
            <v>Cumulative Budget YTD Volume (Mcfs)</v>
          </cell>
          <cell r="E56">
            <v>1308536</v>
          </cell>
          <cell r="F56">
            <v>2597801</v>
          </cell>
          <cell r="G56">
            <v>3698949</v>
          </cell>
          <cell r="H56">
            <v>4472419</v>
          </cell>
          <cell r="I56">
            <v>5011392</v>
          </cell>
          <cell r="J56">
            <v>5393444</v>
          </cell>
          <cell r="K56">
            <v>5753991</v>
          </cell>
          <cell r="L56">
            <v>6125501</v>
          </cell>
          <cell r="M56">
            <v>6537852</v>
          </cell>
          <cell r="N56">
            <v>7033540</v>
          </cell>
          <cell r="O56">
            <v>7771217</v>
          </cell>
          <cell r="P56">
            <v>8898747</v>
          </cell>
        </row>
        <row r="57">
          <cell r="A57">
            <v>54</v>
          </cell>
          <cell r="B57" t="str">
            <v>Cumulative YTD Budget Volume (Dts) * 1.035</v>
          </cell>
          <cell r="E57">
            <v>1354334.76</v>
          </cell>
          <cell r="F57">
            <v>2688724.0350000001</v>
          </cell>
          <cell r="G57">
            <v>3828412.2149999999</v>
          </cell>
          <cell r="H57">
            <v>4628953.665</v>
          </cell>
          <cell r="I57">
            <v>5186790.72</v>
          </cell>
          <cell r="J57">
            <v>5582214.54</v>
          </cell>
          <cell r="K57">
            <v>5955380.6849999996</v>
          </cell>
          <cell r="L57">
            <v>6339893.5349999992</v>
          </cell>
          <cell r="M57">
            <v>6766676.8199999994</v>
          </cell>
          <cell r="N57">
            <v>7279713.8999999994</v>
          </cell>
          <cell r="O57">
            <v>8043209.5949999997</v>
          </cell>
          <cell r="P57">
            <v>9210203.1449999996</v>
          </cell>
        </row>
      </sheetData>
      <sheetData sheetId="11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11493.272727272728</v>
          </cell>
          <cell r="E5">
            <v>11654</v>
          </cell>
          <cell r="F5">
            <v>11667</v>
          </cell>
          <cell r="G5">
            <v>11700</v>
          </cell>
          <cell r="H5">
            <v>11691</v>
          </cell>
          <cell r="I5">
            <v>11615</v>
          </cell>
          <cell r="J5">
            <v>11402</v>
          </cell>
          <cell r="K5">
            <v>11378</v>
          </cell>
          <cell r="L5">
            <v>11337</v>
          </cell>
          <cell r="M5">
            <v>11276</v>
          </cell>
          <cell r="N5">
            <v>11293</v>
          </cell>
          <cell r="O5">
            <v>11413</v>
          </cell>
          <cell r="T5">
            <v>2</v>
          </cell>
          <cell r="U5" t="str">
            <v>Residential</v>
          </cell>
          <cell r="V5">
            <v>12521</v>
          </cell>
          <cell r="W5">
            <v>137732</v>
          </cell>
          <cell r="X5">
            <v>11444</v>
          </cell>
          <cell r="Y5">
            <v>11489</v>
          </cell>
          <cell r="Z5">
            <v>11487</v>
          </cell>
          <cell r="AA5">
            <v>11467</v>
          </cell>
          <cell r="AB5">
            <v>11458</v>
          </cell>
          <cell r="AC5">
            <v>11454</v>
          </cell>
          <cell r="AD5">
            <v>11439</v>
          </cell>
          <cell r="AE5">
            <v>11427</v>
          </cell>
          <cell r="AF5">
            <v>11462</v>
          </cell>
          <cell r="AG5">
            <v>11483</v>
          </cell>
          <cell r="AH5">
            <v>11523</v>
          </cell>
          <cell r="AI5">
            <v>11599</v>
          </cell>
        </row>
        <row r="6">
          <cell r="A6">
            <v>3</v>
          </cell>
          <cell r="B6" t="str">
            <v>Commercial</v>
          </cell>
          <cell r="D6">
            <v>1947.2727272727273</v>
          </cell>
          <cell r="E6">
            <v>1941</v>
          </cell>
          <cell r="F6">
            <v>1946</v>
          </cell>
          <cell r="G6">
            <v>1963</v>
          </cell>
          <cell r="H6">
            <v>1958</v>
          </cell>
          <cell r="I6">
            <v>1953</v>
          </cell>
          <cell r="J6">
            <v>1946</v>
          </cell>
          <cell r="K6">
            <v>1945</v>
          </cell>
          <cell r="L6">
            <v>1939</v>
          </cell>
          <cell r="M6">
            <v>1939</v>
          </cell>
          <cell r="N6">
            <v>1941</v>
          </cell>
          <cell r="O6">
            <v>1949</v>
          </cell>
          <cell r="T6">
            <v>3</v>
          </cell>
          <cell r="U6" t="str">
            <v>Commercial</v>
          </cell>
          <cell r="V6">
            <v>2101</v>
          </cell>
          <cell r="W6">
            <v>23106</v>
          </cell>
          <cell r="X6">
            <v>1928</v>
          </cell>
          <cell r="Y6">
            <v>1933</v>
          </cell>
          <cell r="Z6">
            <v>1933</v>
          </cell>
          <cell r="AA6">
            <v>1933</v>
          </cell>
          <cell r="AB6">
            <v>1928</v>
          </cell>
          <cell r="AC6">
            <v>1923</v>
          </cell>
          <cell r="AD6">
            <v>1915</v>
          </cell>
          <cell r="AE6">
            <v>1912</v>
          </cell>
          <cell r="AF6">
            <v>1914</v>
          </cell>
          <cell r="AG6">
            <v>1917</v>
          </cell>
          <cell r="AH6">
            <v>1931</v>
          </cell>
          <cell r="AI6">
            <v>1939</v>
          </cell>
        </row>
        <row r="7">
          <cell r="A7">
            <v>4</v>
          </cell>
          <cell r="B7" t="str">
            <v xml:space="preserve">Industrial </v>
          </cell>
          <cell r="D7">
            <v>46.454545454545453</v>
          </cell>
          <cell r="E7">
            <v>46</v>
          </cell>
          <cell r="F7">
            <v>46</v>
          </cell>
          <cell r="G7">
            <v>46</v>
          </cell>
          <cell r="H7">
            <v>46</v>
          </cell>
          <cell r="I7">
            <v>46</v>
          </cell>
          <cell r="J7">
            <v>46</v>
          </cell>
          <cell r="K7">
            <v>46</v>
          </cell>
          <cell r="L7">
            <v>46</v>
          </cell>
          <cell r="M7">
            <v>47</v>
          </cell>
          <cell r="N7">
            <v>48</v>
          </cell>
          <cell r="O7">
            <v>48</v>
          </cell>
          <cell r="T7">
            <v>4</v>
          </cell>
          <cell r="U7" t="str">
            <v xml:space="preserve">Industrial </v>
          </cell>
          <cell r="V7">
            <v>50</v>
          </cell>
          <cell r="W7">
            <v>545</v>
          </cell>
          <cell r="X7">
            <v>47</v>
          </cell>
          <cell r="Y7">
            <v>45</v>
          </cell>
          <cell r="Z7">
            <v>45</v>
          </cell>
          <cell r="AA7">
            <v>45</v>
          </cell>
          <cell r="AB7">
            <v>45</v>
          </cell>
          <cell r="AC7">
            <v>45</v>
          </cell>
          <cell r="AD7">
            <v>45</v>
          </cell>
          <cell r="AE7">
            <v>45</v>
          </cell>
          <cell r="AF7">
            <v>45</v>
          </cell>
          <cell r="AG7">
            <v>46</v>
          </cell>
          <cell r="AH7">
            <v>46</v>
          </cell>
          <cell r="AI7">
            <v>46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</row>
        <row r="9">
          <cell r="A9">
            <v>6</v>
          </cell>
          <cell r="B9" t="str">
            <v>Total customers</v>
          </cell>
          <cell r="D9">
            <v>13487.000000000002</v>
          </cell>
          <cell r="E9">
            <v>13641</v>
          </cell>
          <cell r="F9">
            <v>13659</v>
          </cell>
          <cell r="G9">
            <v>13709</v>
          </cell>
          <cell r="H9">
            <v>13695</v>
          </cell>
          <cell r="I9">
            <v>13614</v>
          </cell>
          <cell r="J9">
            <v>13394</v>
          </cell>
          <cell r="K9">
            <v>13369</v>
          </cell>
          <cell r="L9">
            <v>13322</v>
          </cell>
          <cell r="M9">
            <v>13262</v>
          </cell>
          <cell r="N9">
            <v>13282</v>
          </cell>
          <cell r="O9">
            <v>13410</v>
          </cell>
          <cell r="P9">
            <v>0</v>
          </cell>
          <cell r="T9">
            <v>6</v>
          </cell>
          <cell r="U9" t="str">
            <v>Total customers</v>
          </cell>
          <cell r="V9">
            <v>14672</v>
          </cell>
          <cell r="W9">
            <v>161383</v>
          </cell>
          <cell r="X9">
            <v>13419</v>
          </cell>
          <cell r="Y9">
            <v>13467</v>
          </cell>
          <cell r="Z9">
            <v>13465</v>
          </cell>
          <cell r="AA9">
            <v>13445</v>
          </cell>
          <cell r="AB9">
            <v>13431</v>
          </cell>
          <cell r="AC9">
            <v>13422</v>
          </cell>
          <cell r="AD9">
            <v>13399</v>
          </cell>
          <cell r="AE9">
            <v>13384</v>
          </cell>
          <cell r="AF9">
            <v>13421</v>
          </cell>
          <cell r="AG9">
            <v>13446</v>
          </cell>
          <cell r="AH9">
            <v>13500</v>
          </cell>
          <cell r="AI9">
            <v>13584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- 2021 (Mcfs)</v>
          </cell>
          <cell r="C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476754</v>
          </cell>
          <cell r="E12">
            <v>106254</v>
          </cell>
          <cell r="F12">
            <v>112108</v>
          </cell>
          <cell r="G12">
            <v>99031</v>
          </cell>
          <cell r="H12">
            <v>47798</v>
          </cell>
          <cell r="I12">
            <v>24997</v>
          </cell>
          <cell r="J12">
            <v>24997</v>
          </cell>
          <cell r="K12">
            <v>8692</v>
          </cell>
          <cell r="L12">
            <v>8375</v>
          </cell>
          <cell r="M12">
            <v>8148</v>
          </cell>
          <cell r="N12">
            <v>10108</v>
          </cell>
          <cell r="O12">
            <v>26246</v>
          </cell>
          <cell r="T12">
            <v>9</v>
          </cell>
          <cell r="U12" t="str">
            <v>Residential</v>
          </cell>
          <cell r="W12">
            <v>461295</v>
          </cell>
          <cell r="X12">
            <v>87627</v>
          </cell>
          <cell r="Y12">
            <v>86331</v>
          </cell>
          <cell r="Z12">
            <v>74257</v>
          </cell>
          <cell r="AA12">
            <v>45942</v>
          </cell>
          <cell r="AB12">
            <v>30570</v>
          </cell>
          <cell r="AC12">
            <v>15363</v>
          </cell>
          <cell r="AD12">
            <v>9369</v>
          </cell>
          <cell r="AE12">
            <v>8423</v>
          </cell>
          <cell r="AF12">
            <v>8862</v>
          </cell>
          <cell r="AG12">
            <v>8862</v>
          </cell>
          <cell r="AH12">
            <v>26469</v>
          </cell>
          <cell r="AI12">
            <v>59220</v>
          </cell>
        </row>
        <row r="13">
          <cell r="A13">
            <v>10</v>
          </cell>
          <cell r="B13" t="str">
            <v>Commercial</v>
          </cell>
          <cell r="C13">
            <v>965498</v>
          </cell>
          <cell r="E13">
            <v>152099</v>
          </cell>
          <cell r="F13">
            <v>172499</v>
          </cell>
          <cell r="G13">
            <v>144428</v>
          </cell>
          <cell r="H13">
            <v>91694</v>
          </cell>
          <cell r="I13">
            <v>61022</v>
          </cell>
          <cell r="J13">
            <v>61022</v>
          </cell>
          <cell r="K13">
            <v>50601</v>
          </cell>
          <cell r="L13">
            <v>48465</v>
          </cell>
          <cell r="M13">
            <v>53220</v>
          </cell>
          <cell r="N13">
            <v>51901</v>
          </cell>
          <cell r="O13">
            <v>78547</v>
          </cell>
          <cell r="T13">
            <v>10</v>
          </cell>
          <cell r="U13" t="str">
            <v>Commercial</v>
          </cell>
          <cell r="W13">
            <v>1016817</v>
          </cell>
          <cell r="X13">
            <v>201878</v>
          </cell>
          <cell r="Y13">
            <v>128142</v>
          </cell>
          <cell r="Z13">
            <v>111807</v>
          </cell>
          <cell r="AA13">
            <v>78298</v>
          </cell>
          <cell r="AB13">
            <v>58538</v>
          </cell>
          <cell r="AC13">
            <v>46509</v>
          </cell>
          <cell r="AD13">
            <v>49098</v>
          </cell>
          <cell r="AE13">
            <v>45211</v>
          </cell>
          <cell r="AF13">
            <v>49952</v>
          </cell>
          <cell r="AG13">
            <v>49952</v>
          </cell>
          <cell r="AH13">
            <v>72285</v>
          </cell>
          <cell r="AI13">
            <v>125147</v>
          </cell>
        </row>
        <row r="14">
          <cell r="A14">
            <v>11</v>
          </cell>
          <cell r="B14" t="str">
            <v xml:space="preserve">Industrial </v>
          </cell>
          <cell r="C14">
            <v>1714147</v>
          </cell>
          <cell r="E14">
            <v>155334</v>
          </cell>
          <cell r="F14">
            <v>165314</v>
          </cell>
          <cell r="G14">
            <v>177537</v>
          </cell>
          <cell r="H14">
            <v>165832</v>
          </cell>
          <cell r="I14">
            <v>143050</v>
          </cell>
          <cell r="J14">
            <v>143050</v>
          </cell>
          <cell r="K14">
            <v>140705</v>
          </cell>
          <cell r="L14">
            <v>133089</v>
          </cell>
          <cell r="M14">
            <v>155459</v>
          </cell>
          <cell r="N14">
            <v>157921</v>
          </cell>
          <cell r="O14">
            <v>176856</v>
          </cell>
          <cell r="T14">
            <v>11</v>
          </cell>
          <cell r="U14" t="str">
            <v xml:space="preserve">Industrial </v>
          </cell>
          <cell r="W14">
            <v>1701965</v>
          </cell>
          <cell r="X14">
            <v>104938</v>
          </cell>
          <cell r="Y14">
            <v>143526</v>
          </cell>
          <cell r="Z14">
            <v>150583</v>
          </cell>
          <cell r="AA14">
            <v>151616</v>
          </cell>
          <cell r="AB14">
            <v>136384</v>
          </cell>
          <cell r="AC14">
            <v>141912</v>
          </cell>
          <cell r="AD14">
            <v>140030</v>
          </cell>
          <cell r="AE14">
            <v>126181</v>
          </cell>
          <cell r="AF14">
            <v>135739</v>
          </cell>
          <cell r="AG14">
            <v>135739</v>
          </cell>
          <cell r="AH14">
            <v>149114</v>
          </cell>
          <cell r="AI14">
            <v>186203</v>
          </cell>
        </row>
        <row r="15">
          <cell r="A15">
            <v>12</v>
          </cell>
          <cell r="B15" t="str">
            <v>Other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C16">
            <v>3156399</v>
          </cell>
          <cell r="E16">
            <v>413687</v>
          </cell>
          <cell r="F16">
            <v>449921</v>
          </cell>
          <cell r="G16">
            <v>420996</v>
          </cell>
          <cell r="H16">
            <v>305324</v>
          </cell>
          <cell r="I16">
            <v>229069</v>
          </cell>
          <cell r="J16">
            <v>229069</v>
          </cell>
          <cell r="K16">
            <v>199998</v>
          </cell>
          <cell r="L16">
            <v>189929</v>
          </cell>
          <cell r="M16">
            <v>216827</v>
          </cell>
          <cell r="N16">
            <v>219930</v>
          </cell>
          <cell r="O16">
            <v>281649</v>
          </cell>
          <cell r="P16">
            <v>0</v>
          </cell>
          <cell r="T16">
            <v>13</v>
          </cell>
          <cell r="U16" t="str">
            <v>Total Deliveries</v>
          </cell>
          <cell r="W16">
            <v>3180077</v>
          </cell>
          <cell r="X16">
            <v>394443</v>
          </cell>
          <cell r="Y16">
            <v>357999</v>
          </cell>
          <cell r="Z16">
            <v>336647</v>
          </cell>
          <cell r="AA16">
            <v>275856</v>
          </cell>
          <cell r="AB16">
            <v>225492</v>
          </cell>
          <cell r="AC16">
            <v>203784</v>
          </cell>
          <cell r="AD16">
            <v>198497</v>
          </cell>
          <cell r="AE16">
            <v>179815</v>
          </cell>
          <cell r="AF16">
            <v>194553</v>
          </cell>
          <cell r="AG16">
            <v>194553</v>
          </cell>
          <cell r="AH16">
            <v>247868</v>
          </cell>
          <cell r="AI16">
            <v>370570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1.035984</v>
          </cell>
          <cell r="I18">
            <v>1.0363309999999999</v>
          </cell>
          <cell r="J18">
            <v>1.0378799999999999</v>
          </cell>
          <cell r="K18">
            <v>1.0355460000000001</v>
          </cell>
          <cell r="L18">
            <v>1.035309</v>
          </cell>
          <cell r="M18">
            <v>1.0329710000000001</v>
          </cell>
          <cell r="N18">
            <v>1.0365549999999999</v>
          </cell>
          <cell r="O18">
            <v>0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466973</v>
          </cell>
          <cell r="E21">
            <v>110187</v>
          </cell>
          <cell r="F21">
            <v>116111</v>
          </cell>
          <cell r="G21">
            <v>102742</v>
          </cell>
          <cell r="H21">
            <v>49518</v>
          </cell>
          <cell r="I21">
            <v>25905</v>
          </cell>
          <cell r="J21">
            <v>25944</v>
          </cell>
          <cell r="K21">
            <v>9001</v>
          </cell>
          <cell r="L21">
            <v>8671</v>
          </cell>
          <cell r="M21">
            <v>8417</v>
          </cell>
          <cell r="N21">
            <v>10477</v>
          </cell>
          <cell r="O21">
            <v>0</v>
          </cell>
          <cell r="P21">
            <v>0</v>
          </cell>
          <cell r="T21">
            <v>18</v>
          </cell>
          <cell r="U21" t="str">
            <v>Residential</v>
          </cell>
          <cell r="W21">
            <v>478607</v>
          </cell>
          <cell r="X21">
            <v>90828</v>
          </cell>
          <cell r="Y21">
            <v>89621</v>
          </cell>
          <cell r="Z21">
            <v>77046</v>
          </cell>
          <cell r="AA21">
            <v>47720</v>
          </cell>
          <cell r="AB21">
            <v>31716</v>
          </cell>
          <cell r="AC21">
            <v>15919</v>
          </cell>
          <cell r="AD21">
            <v>9687</v>
          </cell>
          <cell r="AE21">
            <v>8707</v>
          </cell>
          <cell r="AF21">
            <v>9201</v>
          </cell>
          <cell r="AG21">
            <v>9165</v>
          </cell>
          <cell r="AH21">
            <v>27463</v>
          </cell>
          <cell r="AI21">
            <v>61534</v>
          </cell>
        </row>
        <row r="22">
          <cell r="A22">
            <v>19</v>
          </cell>
          <cell r="B22" t="str">
            <v>Commercial</v>
          </cell>
          <cell r="D22">
            <v>919143</v>
          </cell>
          <cell r="E22">
            <v>157729</v>
          </cell>
          <cell r="F22">
            <v>178658</v>
          </cell>
          <cell r="G22">
            <v>149840</v>
          </cell>
          <cell r="H22">
            <v>94994</v>
          </cell>
          <cell r="I22">
            <v>63239</v>
          </cell>
          <cell r="J22">
            <v>63334</v>
          </cell>
          <cell r="K22">
            <v>52400</v>
          </cell>
          <cell r="L22">
            <v>50176</v>
          </cell>
          <cell r="M22">
            <v>54975</v>
          </cell>
          <cell r="N22">
            <v>53798</v>
          </cell>
          <cell r="O22">
            <v>0</v>
          </cell>
          <cell r="P22">
            <v>0</v>
          </cell>
          <cell r="T22">
            <v>19</v>
          </cell>
          <cell r="U22" t="str">
            <v>Commercial</v>
          </cell>
          <cell r="W22">
            <v>1054589</v>
          </cell>
          <cell r="X22">
            <v>209253</v>
          </cell>
          <cell r="Y22">
            <v>133025</v>
          </cell>
          <cell r="Z22">
            <v>116006</v>
          </cell>
          <cell r="AA22">
            <v>81328</v>
          </cell>
          <cell r="AB22">
            <v>60733</v>
          </cell>
          <cell r="AC22">
            <v>48191</v>
          </cell>
          <cell r="AD22">
            <v>50763</v>
          </cell>
          <cell r="AE22">
            <v>46735</v>
          </cell>
          <cell r="AF22">
            <v>51861</v>
          </cell>
          <cell r="AG22">
            <v>51658</v>
          </cell>
          <cell r="AH22">
            <v>74999</v>
          </cell>
          <cell r="AI22">
            <v>130037</v>
          </cell>
        </row>
        <row r="23">
          <cell r="A23">
            <v>20</v>
          </cell>
          <cell r="B23" t="str">
            <v xml:space="preserve">Industrial </v>
          </cell>
          <cell r="D23">
            <v>1592779</v>
          </cell>
          <cell r="E23">
            <v>161084</v>
          </cell>
          <cell r="F23">
            <v>171217</v>
          </cell>
          <cell r="G23">
            <v>184190</v>
          </cell>
          <cell r="H23">
            <v>171799</v>
          </cell>
          <cell r="I23">
            <v>148247</v>
          </cell>
          <cell r="J23">
            <v>148469</v>
          </cell>
          <cell r="K23">
            <v>145706</v>
          </cell>
          <cell r="L23">
            <v>137788</v>
          </cell>
          <cell r="M23">
            <v>160585</v>
          </cell>
          <cell r="N23">
            <v>163694</v>
          </cell>
          <cell r="O23">
            <v>0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1764736</v>
          </cell>
          <cell r="X23">
            <v>108772</v>
          </cell>
          <cell r="Y23">
            <v>148995</v>
          </cell>
          <cell r="Z23">
            <v>156239</v>
          </cell>
          <cell r="AA23">
            <v>157484</v>
          </cell>
          <cell r="AB23">
            <v>141497</v>
          </cell>
          <cell r="AC23">
            <v>147043</v>
          </cell>
          <cell r="AD23">
            <v>144778</v>
          </cell>
          <cell r="AE23">
            <v>130435</v>
          </cell>
          <cell r="AF23">
            <v>140927</v>
          </cell>
          <cell r="AG23">
            <v>140375</v>
          </cell>
          <cell r="AH23">
            <v>154713</v>
          </cell>
          <cell r="AI23">
            <v>193478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2978895</v>
          </cell>
          <cell r="E25">
            <v>429000</v>
          </cell>
          <cell r="F25">
            <v>465986</v>
          </cell>
          <cell r="G25">
            <v>436772</v>
          </cell>
          <cell r="H25">
            <v>316311</v>
          </cell>
          <cell r="I25">
            <v>237391</v>
          </cell>
          <cell r="J25">
            <v>237747</v>
          </cell>
          <cell r="K25">
            <v>207107</v>
          </cell>
          <cell r="L25">
            <v>196635</v>
          </cell>
          <cell r="M25">
            <v>223977</v>
          </cell>
          <cell r="N25">
            <v>227969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W25">
            <v>3297932</v>
          </cell>
          <cell r="X25">
            <v>408853</v>
          </cell>
          <cell r="Y25">
            <v>371641</v>
          </cell>
          <cell r="Z25">
            <v>349291</v>
          </cell>
          <cell r="AA25">
            <v>286532</v>
          </cell>
          <cell r="AB25">
            <v>233946</v>
          </cell>
          <cell r="AC25">
            <v>211153</v>
          </cell>
          <cell r="AD25">
            <v>205228</v>
          </cell>
          <cell r="AE25">
            <v>185877</v>
          </cell>
          <cell r="AF25">
            <v>201989</v>
          </cell>
          <cell r="AG25">
            <v>201198</v>
          </cell>
          <cell r="AH25">
            <v>257175</v>
          </cell>
          <cell r="AI25">
            <v>385049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13465</v>
          </cell>
          <cell r="F28">
            <v>13479</v>
          </cell>
          <cell r="G28">
            <v>13453</v>
          </cell>
          <cell r="H28">
            <v>13405</v>
          </cell>
          <cell r="I28">
            <v>13204</v>
          </cell>
          <cell r="J28">
            <v>13001</v>
          </cell>
          <cell r="K28">
            <v>12963</v>
          </cell>
          <cell r="L28">
            <v>12936</v>
          </cell>
          <cell r="M28">
            <v>12999</v>
          </cell>
          <cell r="N28">
            <v>13170</v>
          </cell>
          <cell r="O28">
            <v>13397</v>
          </cell>
          <cell r="P28">
            <v>13674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411498.41506519174</v>
          </cell>
          <cell r="F29">
            <v>382246.08927595615</v>
          </cell>
          <cell r="G29">
            <v>356161.90048547764</v>
          </cell>
          <cell r="H29">
            <v>281024.64098407648</v>
          </cell>
          <cell r="I29">
            <v>218442.54184234625</v>
          </cell>
          <cell r="J29">
            <v>185841.41714188064</v>
          </cell>
          <cell r="K29">
            <v>196043.85855907388</v>
          </cell>
          <cell r="L29">
            <v>193984.66017488853</v>
          </cell>
          <cell r="M29">
            <v>197103.88794481836</v>
          </cell>
          <cell r="N29">
            <v>302130.89781387686</v>
          </cell>
          <cell r="O29">
            <v>349412.72086548031</v>
          </cell>
          <cell r="P29">
            <v>466636.22550442454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425900.85959247343</v>
          </cell>
          <cell r="F30">
            <v>395624.70240061457</v>
          </cell>
          <cell r="G30">
            <v>368627.56700246932</v>
          </cell>
          <cell r="H30">
            <v>290860.50341851916</v>
          </cell>
          <cell r="I30">
            <v>226088.03080682835</v>
          </cell>
          <cell r="J30">
            <v>192345.86674184643</v>
          </cell>
          <cell r="K30">
            <v>202905.39360864146</v>
          </cell>
          <cell r="L30">
            <v>200774.12328100961</v>
          </cell>
          <cell r="M30">
            <v>204002.524022887</v>
          </cell>
          <cell r="N30">
            <v>312705.47923736251</v>
          </cell>
          <cell r="O30">
            <v>361642.16609577212</v>
          </cell>
          <cell r="P30">
            <v>482968.49339707935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11654</v>
          </cell>
          <cell r="F34">
            <v>11661</v>
          </cell>
          <cell r="G34">
            <v>11674</v>
          </cell>
          <cell r="H34">
            <v>11678</v>
          </cell>
          <cell r="I34">
            <v>11665</v>
          </cell>
          <cell r="J34">
            <v>11622</v>
          </cell>
          <cell r="K34">
            <v>11587</v>
          </cell>
          <cell r="L34">
            <v>11556</v>
          </cell>
          <cell r="M34">
            <v>11524</v>
          </cell>
          <cell r="N34">
            <v>11501</v>
          </cell>
          <cell r="O34">
            <v>11493</v>
          </cell>
          <cell r="P34">
            <v>11493</v>
          </cell>
          <cell r="T34">
            <v>31</v>
          </cell>
          <cell r="U34" t="str">
            <v>Residential</v>
          </cell>
          <cell r="X34">
            <v>11444</v>
          </cell>
          <cell r="Y34">
            <v>11467</v>
          </cell>
          <cell r="Z34">
            <v>11473</v>
          </cell>
          <cell r="AA34">
            <v>11472</v>
          </cell>
          <cell r="AB34">
            <v>11469</v>
          </cell>
          <cell r="AC34">
            <v>11467</v>
          </cell>
          <cell r="AD34">
            <v>11463</v>
          </cell>
          <cell r="AE34">
            <v>11458</v>
          </cell>
          <cell r="AF34">
            <v>11459</v>
          </cell>
          <cell r="AG34">
            <v>11461</v>
          </cell>
          <cell r="AH34">
            <v>11467</v>
          </cell>
          <cell r="AI34">
            <v>11478</v>
          </cell>
        </row>
        <row r="35">
          <cell r="A35">
            <v>32</v>
          </cell>
          <cell r="B35" t="str">
            <v>Commercial</v>
          </cell>
          <cell r="E35">
            <v>1941</v>
          </cell>
          <cell r="F35">
            <v>1944</v>
          </cell>
          <cell r="G35">
            <v>1950</v>
          </cell>
          <cell r="H35">
            <v>1952</v>
          </cell>
          <cell r="I35">
            <v>1952</v>
          </cell>
          <cell r="J35">
            <v>1951</v>
          </cell>
          <cell r="K35">
            <v>1950</v>
          </cell>
          <cell r="L35">
            <v>1949</v>
          </cell>
          <cell r="M35">
            <v>1948</v>
          </cell>
          <cell r="N35">
            <v>1947</v>
          </cell>
          <cell r="O35">
            <v>1947</v>
          </cell>
          <cell r="P35">
            <v>1947</v>
          </cell>
          <cell r="T35">
            <v>32</v>
          </cell>
          <cell r="U35" t="str">
            <v>Commercial</v>
          </cell>
          <cell r="X35">
            <v>1928</v>
          </cell>
          <cell r="Y35">
            <v>1931</v>
          </cell>
          <cell r="Z35">
            <v>1931</v>
          </cell>
          <cell r="AA35">
            <v>1932</v>
          </cell>
          <cell r="AB35">
            <v>1931</v>
          </cell>
          <cell r="AC35">
            <v>1930</v>
          </cell>
          <cell r="AD35">
            <v>1928</v>
          </cell>
          <cell r="AE35">
            <v>1926</v>
          </cell>
          <cell r="AF35">
            <v>1924</v>
          </cell>
          <cell r="AG35">
            <v>1924</v>
          </cell>
          <cell r="AH35">
            <v>1924</v>
          </cell>
          <cell r="AI35">
            <v>1926</v>
          </cell>
        </row>
        <row r="36">
          <cell r="A36">
            <v>33</v>
          </cell>
          <cell r="B36" t="str">
            <v xml:space="preserve">Industrial </v>
          </cell>
          <cell r="E36">
            <v>46</v>
          </cell>
          <cell r="F36">
            <v>46</v>
          </cell>
          <cell r="G36">
            <v>46</v>
          </cell>
          <cell r="H36">
            <v>46</v>
          </cell>
          <cell r="I36">
            <v>46</v>
          </cell>
          <cell r="J36">
            <v>46</v>
          </cell>
          <cell r="K36">
            <v>46</v>
          </cell>
          <cell r="L36">
            <v>46</v>
          </cell>
          <cell r="M36">
            <v>46</v>
          </cell>
          <cell r="N36">
            <v>46</v>
          </cell>
          <cell r="O36">
            <v>46</v>
          </cell>
          <cell r="P36">
            <v>46</v>
          </cell>
          <cell r="T36">
            <v>33</v>
          </cell>
          <cell r="U36" t="str">
            <v xml:space="preserve">Industrial </v>
          </cell>
          <cell r="X36">
            <v>47</v>
          </cell>
          <cell r="Y36">
            <v>46</v>
          </cell>
          <cell r="Z36">
            <v>46</v>
          </cell>
          <cell r="AA36">
            <v>46</v>
          </cell>
          <cell r="AB36">
            <v>45</v>
          </cell>
          <cell r="AC36">
            <v>45</v>
          </cell>
          <cell r="AD36">
            <v>45</v>
          </cell>
          <cell r="AE36">
            <v>45</v>
          </cell>
          <cell r="AF36">
            <v>45</v>
          </cell>
          <cell r="AG36">
            <v>45</v>
          </cell>
          <cell r="AH36">
            <v>45</v>
          </cell>
          <cell r="AI36">
            <v>45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13641</v>
          </cell>
          <cell r="F38">
            <v>13651</v>
          </cell>
          <cell r="G38">
            <v>13670</v>
          </cell>
          <cell r="H38">
            <v>13676</v>
          </cell>
          <cell r="I38">
            <v>13663</v>
          </cell>
          <cell r="J38">
            <v>13619</v>
          </cell>
          <cell r="K38">
            <v>13583</v>
          </cell>
          <cell r="L38">
            <v>13551</v>
          </cell>
          <cell r="M38">
            <v>13518</v>
          </cell>
          <cell r="N38">
            <v>13494</v>
          </cell>
          <cell r="O38">
            <v>13486</v>
          </cell>
          <cell r="P38">
            <v>13486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13419</v>
          </cell>
          <cell r="Y38">
            <v>13444</v>
          </cell>
          <cell r="Z38">
            <v>13450</v>
          </cell>
          <cell r="AA38">
            <v>13450</v>
          </cell>
          <cell r="AB38">
            <v>13445</v>
          </cell>
          <cell r="AC38">
            <v>13442</v>
          </cell>
          <cell r="AD38">
            <v>13436</v>
          </cell>
          <cell r="AE38">
            <v>13429</v>
          </cell>
          <cell r="AF38">
            <v>13428</v>
          </cell>
          <cell r="AG38">
            <v>13430</v>
          </cell>
          <cell r="AH38">
            <v>13436</v>
          </cell>
          <cell r="AI38">
            <v>13449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106254</v>
          </cell>
          <cell r="F41">
            <v>218362</v>
          </cell>
          <cell r="G41">
            <v>317393</v>
          </cell>
          <cell r="H41">
            <v>365191</v>
          </cell>
          <cell r="I41">
            <v>390188</v>
          </cell>
          <cell r="J41">
            <v>415185</v>
          </cell>
          <cell r="K41">
            <v>423877</v>
          </cell>
          <cell r="L41">
            <v>432252</v>
          </cell>
          <cell r="M41">
            <v>440400</v>
          </cell>
          <cell r="N41">
            <v>450508</v>
          </cell>
          <cell r="O41">
            <v>476754</v>
          </cell>
          <cell r="P41">
            <v>476754</v>
          </cell>
          <cell r="T41">
            <v>38</v>
          </cell>
          <cell r="U41" t="str">
            <v>Residential</v>
          </cell>
          <cell r="X41">
            <v>87627</v>
          </cell>
          <cell r="Y41">
            <v>173958</v>
          </cell>
          <cell r="Z41">
            <v>248215</v>
          </cell>
          <cell r="AA41">
            <v>294157</v>
          </cell>
          <cell r="AB41">
            <v>324727</v>
          </cell>
          <cell r="AC41">
            <v>340090</v>
          </cell>
          <cell r="AD41">
            <v>349459</v>
          </cell>
          <cell r="AE41">
            <v>357882</v>
          </cell>
          <cell r="AF41">
            <v>366744</v>
          </cell>
          <cell r="AG41">
            <v>375606</v>
          </cell>
          <cell r="AH41">
            <v>402075</v>
          </cell>
          <cell r="AI41">
            <v>461295</v>
          </cell>
        </row>
        <row r="42">
          <cell r="A42">
            <v>39</v>
          </cell>
          <cell r="B42" t="str">
            <v>Commercial</v>
          </cell>
          <cell r="E42">
            <v>152099</v>
          </cell>
          <cell r="F42">
            <v>324598</v>
          </cell>
          <cell r="G42">
            <v>469026</v>
          </cell>
          <cell r="H42">
            <v>560720</v>
          </cell>
          <cell r="I42">
            <v>621742</v>
          </cell>
          <cell r="J42">
            <v>682764</v>
          </cell>
          <cell r="K42">
            <v>733365</v>
          </cell>
          <cell r="L42">
            <v>781830</v>
          </cell>
          <cell r="M42">
            <v>835050</v>
          </cell>
          <cell r="N42">
            <v>886951</v>
          </cell>
          <cell r="O42">
            <v>965498</v>
          </cell>
          <cell r="P42">
            <v>965498</v>
          </cell>
          <cell r="T42">
            <v>39</v>
          </cell>
          <cell r="U42" t="str">
            <v>Commercial</v>
          </cell>
          <cell r="X42">
            <v>201878</v>
          </cell>
          <cell r="Y42">
            <v>330020</v>
          </cell>
          <cell r="Z42">
            <v>441827</v>
          </cell>
          <cell r="AA42">
            <v>520125</v>
          </cell>
          <cell r="AB42">
            <v>578663</v>
          </cell>
          <cell r="AC42">
            <v>625172</v>
          </cell>
          <cell r="AD42">
            <v>674270</v>
          </cell>
          <cell r="AE42">
            <v>719481</v>
          </cell>
          <cell r="AF42">
            <v>769433</v>
          </cell>
          <cell r="AG42">
            <v>819385</v>
          </cell>
          <cell r="AH42">
            <v>891670</v>
          </cell>
          <cell r="AI42">
            <v>1016817</v>
          </cell>
        </row>
        <row r="43">
          <cell r="A43">
            <v>40</v>
          </cell>
          <cell r="B43" t="str">
            <v xml:space="preserve">Industrial </v>
          </cell>
          <cell r="E43">
            <v>155334</v>
          </cell>
          <cell r="F43">
            <v>320648</v>
          </cell>
          <cell r="G43">
            <v>498185</v>
          </cell>
          <cell r="H43">
            <v>664017</v>
          </cell>
          <cell r="I43">
            <v>807067</v>
          </cell>
          <cell r="J43">
            <v>950117</v>
          </cell>
          <cell r="K43">
            <v>1090822</v>
          </cell>
          <cell r="L43">
            <v>1223911</v>
          </cell>
          <cell r="M43">
            <v>1379370</v>
          </cell>
          <cell r="N43">
            <v>1537291</v>
          </cell>
          <cell r="O43">
            <v>1714147</v>
          </cell>
          <cell r="P43">
            <v>1714147</v>
          </cell>
          <cell r="T43">
            <v>40</v>
          </cell>
          <cell r="U43" t="str">
            <v xml:space="preserve">Industrial </v>
          </cell>
          <cell r="X43">
            <v>104938</v>
          </cell>
          <cell r="Y43">
            <v>248464</v>
          </cell>
          <cell r="Z43">
            <v>399047</v>
          </cell>
          <cell r="AA43">
            <v>550663</v>
          </cell>
          <cell r="AB43">
            <v>687047</v>
          </cell>
          <cell r="AC43">
            <v>828959</v>
          </cell>
          <cell r="AD43">
            <v>968989</v>
          </cell>
          <cell r="AE43">
            <v>1095170</v>
          </cell>
          <cell r="AF43">
            <v>1230909</v>
          </cell>
          <cell r="AG43">
            <v>1366648</v>
          </cell>
          <cell r="AH43">
            <v>1515762</v>
          </cell>
          <cell r="AI43">
            <v>1701965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413687</v>
          </cell>
          <cell r="F45">
            <v>863608</v>
          </cell>
          <cell r="G45">
            <v>1284604</v>
          </cell>
          <cell r="H45">
            <v>1589928</v>
          </cell>
          <cell r="I45">
            <v>1818997</v>
          </cell>
          <cell r="J45">
            <v>2048066</v>
          </cell>
          <cell r="K45">
            <v>2248064</v>
          </cell>
          <cell r="L45">
            <v>2437993</v>
          </cell>
          <cell r="M45">
            <v>2654820</v>
          </cell>
          <cell r="N45">
            <v>2874750</v>
          </cell>
          <cell r="O45">
            <v>3156399</v>
          </cell>
          <cell r="P45">
            <v>3156399</v>
          </cell>
          <cell r="T45">
            <v>42</v>
          </cell>
          <cell r="U45" t="str">
            <v>Total Volume</v>
          </cell>
          <cell r="X45">
            <v>394443</v>
          </cell>
          <cell r="Y45">
            <v>752442</v>
          </cell>
          <cell r="Z45">
            <v>1089089</v>
          </cell>
          <cell r="AA45">
            <v>1364945</v>
          </cell>
          <cell r="AB45">
            <v>1590437</v>
          </cell>
          <cell r="AC45">
            <v>1794221</v>
          </cell>
          <cell r="AD45">
            <v>1992718</v>
          </cell>
          <cell r="AE45">
            <v>2172533</v>
          </cell>
          <cell r="AF45">
            <v>2367086</v>
          </cell>
          <cell r="AG45">
            <v>2561639</v>
          </cell>
          <cell r="AH45">
            <v>2809507</v>
          </cell>
          <cell r="AI45">
            <v>3180077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110187</v>
          </cell>
          <cell r="F48">
            <v>226298</v>
          </cell>
          <cell r="G48">
            <v>329040</v>
          </cell>
          <cell r="H48">
            <v>378558</v>
          </cell>
          <cell r="I48">
            <v>404463</v>
          </cell>
          <cell r="J48">
            <v>430407</v>
          </cell>
          <cell r="K48">
            <v>439408</v>
          </cell>
          <cell r="L48">
            <v>448079</v>
          </cell>
          <cell r="M48">
            <v>456496</v>
          </cell>
          <cell r="N48">
            <v>466973</v>
          </cell>
          <cell r="O48">
            <v>466973</v>
          </cell>
          <cell r="P48">
            <v>466973</v>
          </cell>
          <cell r="T48">
            <v>45</v>
          </cell>
          <cell r="U48" t="str">
            <v>Residential</v>
          </cell>
          <cell r="X48">
            <v>90828</v>
          </cell>
          <cell r="Y48">
            <v>180449</v>
          </cell>
          <cell r="Z48">
            <v>257495</v>
          </cell>
          <cell r="AA48">
            <v>305215</v>
          </cell>
          <cell r="AB48">
            <v>336931</v>
          </cell>
          <cell r="AC48">
            <v>352850</v>
          </cell>
          <cell r="AD48">
            <v>362537</v>
          </cell>
          <cell r="AE48">
            <v>371244</v>
          </cell>
          <cell r="AF48">
            <v>380445</v>
          </cell>
          <cell r="AG48">
            <v>389610</v>
          </cell>
          <cell r="AH48">
            <v>417073</v>
          </cell>
          <cell r="AI48">
            <v>478607</v>
          </cell>
        </row>
        <row r="49">
          <cell r="A49">
            <v>46</v>
          </cell>
          <cell r="B49" t="str">
            <v>Commercial</v>
          </cell>
          <cell r="E49">
            <v>157729</v>
          </cell>
          <cell r="F49">
            <v>336387</v>
          </cell>
          <cell r="G49">
            <v>486227</v>
          </cell>
          <cell r="H49">
            <v>581221</v>
          </cell>
          <cell r="I49">
            <v>644460</v>
          </cell>
          <cell r="J49">
            <v>707794</v>
          </cell>
          <cell r="K49">
            <v>760194</v>
          </cell>
          <cell r="L49">
            <v>810370</v>
          </cell>
          <cell r="M49">
            <v>865345</v>
          </cell>
          <cell r="N49">
            <v>919143</v>
          </cell>
          <cell r="O49">
            <v>919143</v>
          </cell>
          <cell r="P49">
            <v>919143</v>
          </cell>
          <cell r="T49">
            <v>46</v>
          </cell>
          <cell r="U49" t="str">
            <v>Commercial</v>
          </cell>
          <cell r="X49">
            <v>209253</v>
          </cell>
          <cell r="Y49">
            <v>342278</v>
          </cell>
          <cell r="Z49">
            <v>458284</v>
          </cell>
          <cell r="AA49">
            <v>539612</v>
          </cell>
          <cell r="AB49">
            <v>600345</v>
          </cell>
          <cell r="AC49">
            <v>648536</v>
          </cell>
          <cell r="AD49">
            <v>699299</v>
          </cell>
          <cell r="AE49">
            <v>746034</v>
          </cell>
          <cell r="AF49">
            <v>797895</v>
          </cell>
          <cell r="AG49">
            <v>849553</v>
          </cell>
          <cell r="AH49">
            <v>924552</v>
          </cell>
          <cell r="AI49">
            <v>1054589</v>
          </cell>
        </row>
        <row r="50">
          <cell r="A50">
            <v>47</v>
          </cell>
          <cell r="B50" t="str">
            <v xml:space="preserve">Industrial </v>
          </cell>
          <cell r="E50">
            <v>161084</v>
          </cell>
          <cell r="F50">
            <v>332301</v>
          </cell>
          <cell r="G50">
            <v>516491</v>
          </cell>
          <cell r="H50">
            <v>688290</v>
          </cell>
          <cell r="I50">
            <v>836537</v>
          </cell>
          <cell r="J50">
            <v>985006</v>
          </cell>
          <cell r="K50">
            <v>1130712</v>
          </cell>
          <cell r="L50">
            <v>1268500</v>
          </cell>
          <cell r="M50">
            <v>1429085</v>
          </cell>
          <cell r="N50">
            <v>1592779</v>
          </cell>
          <cell r="O50">
            <v>1592779</v>
          </cell>
          <cell r="P50">
            <v>1592779</v>
          </cell>
          <cell r="T50">
            <v>47</v>
          </cell>
          <cell r="U50" t="str">
            <v xml:space="preserve">Industrial </v>
          </cell>
          <cell r="X50">
            <v>108772</v>
          </cell>
          <cell r="Y50">
            <v>257767</v>
          </cell>
          <cell r="Z50">
            <v>414006</v>
          </cell>
          <cell r="AA50">
            <v>571490</v>
          </cell>
          <cell r="AB50">
            <v>712987</v>
          </cell>
          <cell r="AC50">
            <v>860030</v>
          </cell>
          <cell r="AD50">
            <v>1004808</v>
          </cell>
          <cell r="AE50">
            <v>1135243</v>
          </cell>
          <cell r="AF50">
            <v>1276170</v>
          </cell>
          <cell r="AG50">
            <v>1416545</v>
          </cell>
          <cell r="AH50">
            <v>1571258</v>
          </cell>
          <cell r="AI50">
            <v>1764736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429000</v>
          </cell>
          <cell r="F52">
            <v>894986</v>
          </cell>
          <cell r="G52">
            <v>1331758</v>
          </cell>
          <cell r="H52">
            <v>1648069</v>
          </cell>
          <cell r="I52">
            <v>1885460</v>
          </cell>
          <cell r="J52">
            <v>2123207</v>
          </cell>
          <cell r="K52">
            <v>2330314</v>
          </cell>
          <cell r="L52">
            <v>2526949</v>
          </cell>
          <cell r="M52">
            <v>2750926</v>
          </cell>
          <cell r="N52">
            <v>2978895</v>
          </cell>
          <cell r="O52">
            <v>2978895</v>
          </cell>
          <cell r="P52">
            <v>2978895</v>
          </cell>
          <cell r="T52">
            <v>49</v>
          </cell>
          <cell r="U52" t="str">
            <v>Total Volume</v>
          </cell>
          <cell r="W52">
            <v>0</v>
          </cell>
          <cell r="X52">
            <v>408853</v>
          </cell>
          <cell r="Y52">
            <v>780494</v>
          </cell>
          <cell r="Z52">
            <v>1129785</v>
          </cell>
          <cell r="AA52">
            <v>1416317</v>
          </cell>
          <cell r="AB52">
            <v>1650263</v>
          </cell>
          <cell r="AC52">
            <v>1861416</v>
          </cell>
          <cell r="AD52">
            <v>2066644</v>
          </cell>
          <cell r="AE52">
            <v>2252521</v>
          </cell>
          <cell r="AF52">
            <v>2454510</v>
          </cell>
          <cell r="AG52">
            <v>2655708</v>
          </cell>
          <cell r="AH52">
            <v>2912883</v>
          </cell>
          <cell r="AI52">
            <v>3297932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13465</v>
          </cell>
          <cell r="F55">
            <v>13472</v>
          </cell>
          <cell r="G55">
            <v>13466</v>
          </cell>
          <cell r="H55">
            <v>13451</v>
          </cell>
          <cell r="I55">
            <v>13401</v>
          </cell>
          <cell r="J55">
            <v>13335</v>
          </cell>
          <cell r="K55">
            <v>13281</v>
          </cell>
          <cell r="L55">
            <v>13238</v>
          </cell>
          <cell r="M55">
            <v>13212</v>
          </cell>
          <cell r="N55">
            <v>13208</v>
          </cell>
          <cell r="O55">
            <v>13225</v>
          </cell>
          <cell r="P55">
            <v>13262</v>
          </cell>
        </row>
        <row r="56">
          <cell r="A56">
            <v>53</v>
          </cell>
          <cell r="B56" t="str">
            <v>Cumulative Budget YTD Volume (Mcfs)</v>
          </cell>
          <cell r="E56">
            <v>411498.41506519174</v>
          </cell>
          <cell r="F56">
            <v>793744.50434114784</v>
          </cell>
          <cell r="G56">
            <v>1149906.4048266255</v>
          </cell>
          <cell r="H56">
            <v>1430931.045810702</v>
          </cell>
          <cell r="I56">
            <v>1649373.5876530483</v>
          </cell>
          <cell r="J56">
            <v>1835215.0047949289</v>
          </cell>
          <cell r="K56">
            <v>2031258.8633540028</v>
          </cell>
          <cell r="L56">
            <v>2225243.5235288911</v>
          </cell>
          <cell r="M56">
            <v>2422347.4114737096</v>
          </cell>
          <cell r="N56">
            <v>2724478.3092875862</v>
          </cell>
          <cell r="O56">
            <v>3073891.0301530664</v>
          </cell>
          <cell r="P56">
            <v>3540527.2556574908</v>
          </cell>
        </row>
        <row r="57">
          <cell r="A57">
            <v>54</v>
          </cell>
          <cell r="B57" t="str">
            <v>Cumulative YTD Budget Volume (Dts) * 1.035</v>
          </cell>
          <cell r="E57">
            <v>425900.85959247343</v>
          </cell>
          <cell r="F57">
            <v>821525.56199308799</v>
          </cell>
          <cell r="G57">
            <v>1190153.1289955573</v>
          </cell>
          <cell r="H57">
            <v>1481013.6324140765</v>
          </cell>
          <cell r="I57">
            <v>1707101.6632209048</v>
          </cell>
          <cell r="J57">
            <v>1899447.5299627511</v>
          </cell>
          <cell r="K57">
            <v>2102352.9235713924</v>
          </cell>
          <cell r="L57">
            <v>2303127.0468524019</v>
          </cell>
          <cell r="M57">
            <v>2507129.5708752889</v>
          </cell>
          <cell r="N57">
            <v>2819835.0501126517</v>
          </cell>
          <cell r="O57">
            <v>3181477.216208424</v>
          </cell>
          <cell r="P57">
            <v>3664445.7096055034</v>
          </cell>
        </row>
      </sheetData>
      <sheetData sheetId="12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9994</v>
          </cell>
          <cell r="E5">
            <v>9984</v>
          </cell>
          <cell r="F5">
            <v>9992</v>
          </cell>
          <cell r="G5">
            <v>10000</v>
          </cell>
          <cell r="H5">
            <v>9992</v>
          </cell>
          <cell r="I5">
            <v>9975</v>
          </cell>
          <cell r="J5">
            <v>9965</v>
          </cell>
          <cell r="K5">
            <v>9970</v>
          </cell>
          <cell r="L5">
            <v>10004</v>
          </cell>
          <cell r="M5">
            <v>9998</v>
          </cell>
          <cell r="N5">
            <v>10013</v>
          </cell>
          <cell r="O5">
            <v>10044</v>
          </cell>
          <cell r="T5">
            <v>2</v>
          </cell>
          <cell r="U5" t="str">
            <v>Residential</v>
          </cell>
          <cell r="V5">
            <v>10741</v>
          </cell>
          <cell r="W5">
            <v>118152</v>
          </cell>
          <cell r="X5">
            <v>9786</v>
          </cell>
          <cell r="Y5">
            <v>9791</v>
          </cell>
          <cell r="Z5">
            <v>9812</v>
          </cell>
          <cell r="AA5">
            <v>9815</v>
          </cell>
          <cell r="AB5">
            <v>9818</v>
          </cell>
          <cell r="AC5">
            <v>9844</v>
          </cell>
          <cell r="AD5">
            <v>9848</v>
          </cell>
          <cell r="AE5">
            <v>9857</v>
          </cell>
          <cell r="AF5">
            <v>9855</v>
          </cell>
          <cell r="AG5">
            <v>9875</v>
          </cell>
          <cell r="AH5">
            <v>9893</v>
          </cell>
          <cell r="AI5">
            <v>9958</v>
          </cell>
        </row>
        <row r="6">
          <cell r="A6">
            <v>3</v>
          </cell>
          <cell r="B6" t="str">
            <v>Commercial</v>
          </cell>
          <cell r="D6">
            <v>1103</v>
          </cell>
          <cell r="E6">
            <v>1086</v>
          </cell>
          <cell r="F6">
            <v>1080</v>
          </cell>
          <cell r="G6">
            <v>1079</v>
          </cell>
          <cell r="H6">
            <v>1089</v>
          </cell>
          <cell r="I6">
            <v>1109</v>
          </cell>
          <cell r="J6">
            <v>1113</v>
          </cell>
          <cell r="K6">
            <v>1119</v>
          </cell>
          <cell r="L6">
            <v>1120</v>
          </cell>
          <cell r="M6">
            <v>1120</v>
          </cell>
          <cell r="N6">
            <v>1116</v>
          </cell>
          <cell r="O6">
            <v>1099</v>
          </cell>
          <cell r="T6">
            <v>3</v>
          </cell>
          <cell r="U6" t="str">
            <v>Commercial</v>
          </cell>
          <cell r="V6">
            <v>1195</v>
          </cell>
          <cell r="W6">
            <v>13150</v>
          </cell>
          <cell r="X6">
            <v>1087</v>
          </cell>
          <cell r="Y6">
            <v>1081</v>
          </cell>
          <cell r="Z6">
            <v>1073</v>
          </cell>
          <cell r="AA6">
            <v>1082</v>
          </cell>
          <cell r="AB6">
            <v>1088</v>
          </cell>
          <cell r="AC6">
            <v>1105</v>
          </cell>
          <cell r="AD6">
            <v>1109</v>
          </cell>
          <cell r="AE6">
            <v>1108</v>
          </cell>
          <cell r="AF6">
            <v>1106</v>
          </cell>
          <cell r="AG6">
            <v>1138</v>
          </cell>
          <cell r="AH6">
            <v>1089</v>
          </cell>
          <cell r="AI6">
            <v>1084</v>
          </cell>
        </row>
        <row r="7">
          <cell r="A7">
            <v>4</v>
          </cell>
          <cell r="B7" t="str">
            <v xml:space="preserve">Industrial </v>
          </cell>
          <cell r="D7">
            <v>36</v>
          </cell>
          <cell r="E7">
            <v>36</v>
          </cell>
          <cell r="F7">
            <v>36</v>
          </cell>
          <cell r="G7">
            <v>29</v>
          </cell>
          <cell r="H7">
            <v>36</v>
          </cell>
          <cell r="I7">
            <v>36</v>
          </cell>
          <cell r="J7">
            <v>36</v>
          </cell>
          <cell r="K7">
            <v>36</v>
          </cell>
          <cell r="L7">
            <v>37</v>
          </cell>
          <cell r="M7">
            <v>37</v>
          </cell>
          <cell r="N7">
            <v>36</v>
          </cell>
          <cell r="O7">
            <v>36</v>
          </cell>
          <cell r="T7">
            <v>4</v>
          </cell>
          <cell r="U7" t="str">
            <v xml:space="preserve">Industrial </v>
          </cell>
          <cell r="V7">
            <v>35</v>
          </cell>
          <cell r="W7">
            <v>385</v>
          </cell>
          <cell r="X7">
            <v>31</v>
          </cell>
          <cell r="Y7">
            <v>36</v>
          </cell>
          <cell r="Z7">
            <v>29</v>
          </cell>
          <cell r="AA7">
            <v>35</v>
          </cell>
          <cell r="AB7">
            <v>35</v>
          </cell>
          <cell r="AC7">
            <v>35</v>
          </cell>
          <cell r="AD7">
            <v>35</v>
          </cell>
          <cell r="AE7">
            <v>35</v>
          </cell>
          <cell r="AF7">
            <v>40</v>
          </cell>
          <cell r="AG7">
            <v>2</v>
          </cell>
          <cell r="AH7">
            <v>36</v>
          </cell>
          <cell r="AI7">
            <v>36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11133</v>
          </cell>
          <cell r="E9">
            <v>11106</v>
          </cell>
          <cell r="F9">
            <v>11108</v>
          </cell>
          <cell r="G9">
            <v>11108</v>
          </cell>
          <cell r="H9">
            <v>11117</v>
          </cell>
          <cell r="I9">
            <v>11120</v>
          </cell>
          <cell r="J9">
            <v>11114</v>
          </cell>
          <cell r="K9">
            <v>11125</v>
          </cell>
          <cell r="L9">
            <v>11161</v>
          </cell>
          <cell r="M9">
            <v>11155</v>
          </cell>
          <cell r="N9">
            <v>11165</v>
          </cell>
          <cell r="O9">
            <v>11179</v>
          </cell>
          <cell r="P9">
            <v>0</v>
          </cell>
          <cell r="T9">
            <v>6</v>
          </cell>
          <cell r="U9" t="str">
            <v>Total customers</v>
          </cell>
          <cell r="V9">
            <v>11971</v>
          </cell>
          <cell r="W9">
            <v>131687</v>
          </cell>
          <cell r="X9">
            <v>10904</v>
          </cell>
          <cell r="Y9">
            <v>10908</v>
          </cell>
          <cell r="Z9">
            <v>10914</v>
          </cell>
          <cell r="AA9">
            <v>10932</v>
          </cell>
          <cell r="AB9">
            <v>10941</v>
          </cell>
          <cell r="AC9">
            <v>10984</v>
          </cell>
          <cell r="AD9">
            <v>10992</v>
          </cell>
          <cell r="AE9">
            <v>11000</v>
          </cell>
          <cell r="AF9">
            <v>11001</v>
          </cell>
          <cell r="AG9">
            <v>11015</v>
          </cell>
          <cell r="AH9">
            <v>11018</v>
          </cell>
          <cell r="AI9">
            <v>11078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245156</v>
          </cell>
          <cell r="E12">
            <v>51342</v>
          </cell>
          <cell r="F12">
            <v>55409</v>
          </cell>
          <cell r="G12">
            <v>50057</v>
          </cell>
          <cell r="H12">
            <v>24813</v>
          </cell>
          <cell r="I12">
            <v>12892</v>
          </cell>
          <cell r="J12">
            <v>8946</v>
          </cell>
          <cell r="K12">
            <v>7094</v>
          </cell>
          <cell r="L12">
            <v>7132</v>
          </cell>
          <cell r="M12">
            <v>5972</v>
          </cell>
          <cell r="N12">
            <v>6446</v>
          </cell>
          <cell r="O12">
            <v>15053</v>
          </cell>
          <cell r="T12">
            <v>9</v>
          </cell>
          <cell r="U12" t="str">
            <v>Residential</v>
          </cell>
          <cell r="W12">
            <v>229485.3</v>
          </cell>
          <cell r="X12">
            <v>41684</v>
          </cell>
          <cell r="Y12">
            <v>39766</v>
          </cell>
          <cell r="Z12">
            <v>30879</v>
          </cell>
          <cell r="AA12">
            <v>22775</v>
          </cell>
          <cell r="AB12">
            <v>15254</v>
          </cell>
          <cell r="AC12">
            <v>9773</v>
          </cell>
          <cell r="AD12">
            <v>7078.5</v>
          </cell>
          <cell r="AE12">
            <v>6490.8</v>
          </cell>
          <cell r="AF12">
            <v>6680</v>
          </cell>
          <cell r="AG12">
            <v>6890</v>
          </cell>
          <cell r="AH12">
            <v>12771</v>
          </cell>
          <cell r="AI12">
            <v>29444</v>
          </cell>
        </row>
        <row r="13">
          <cell r="A13">
            <v>10</v>
          </cell>
          <cell r="B13" t="str">
            <v>Commercial</v>
          </cell>
          <cell r="D13">
            <v>319138</v>
          </cell>
          <cell r="E13">
            <v>33576</v>
          </cell>
          <cell r="F13">
            <v>35794</v>
          </cell>
          <cell r="G13">
            <v>35156</v>
          </cell>
          <cell r="H13">
            <v>29473</v>
          </cell>
          <cell r="I13">
            <v>23119</v>
          </cell>
          <cell r="J13">
            <v>26475</v>
          </cell>
          <cell r="K13">
            <v>33494</v>
          </cell>
          <cell r="L13">
            <v>30521</v>
          </cell>
          <cell r="M13">
            <v>27194</v>
          </cell>
          <cell r="N13">
            <v>23777</v>
          </cell>
          <cell r="O13">
            <v>20559</v>
          </cell>
          <cell r="T13">
            <v>10</v>
          </cell>
          <cell r="U13" t="str">
            <v>Commercial</v>
          </cell>
          <cell r="W13">
            <v>291137.40000000002</v>
          </cell>
          <cell r="X13">
            <v>31999</v>
          </cell>
          <cell r="Y13">
            <v>31825</v>
          </cell>
          <cell r="Z13">
            <v>27523</v>
          </cell>
          <cell r="AA13">
            <v>18072</v>
          </cell>
          <cell r="AB13">
            <v>12842</v>
          </cell>
          <cell r="AC13">
            <v>17958</v>
          </cell>
          <cell r="AD13">
            <v>41403.300000000003</v>
          </cell>
          <cell r="AE13">
            <v>21001.1</v>
          </cell>
          <cell r="AF13">
            <v>26724</v>
          </cell>
          <cell r="AG13">
            <v>20670</v>
          </cell>
          <cell r="AH13">
            <v>18027</v>
          </cell>
          <cell r="AI13">
            <v>23093</v>
          </cell>
        </row>
        <row r="14">
          <cell r="A14">
            <v>11</v>
          </cell>
          <cell r="B14" t="str">
            <v xml:space="preserve">Industrial </v>
          </cell>
          <cell r="D14">
            <v>233448</v>
          </cell>
          <cell r="E14">
            <v>19559</v>
          </cell>
          <cell r="F14">
            <v>18757</v>
          </cell>
          <cell r="G14">
            <v>23610</v>
          </cell>
          <cell r="H14">
            <v>23515</v>
          </cell>
          <cell r="I14">
            <v>20064</v>
          </cell>
          <cell r="J14">
            <v>22126</v>
          </cell>
          <cell r="K14">
            <v>20338</v>
          </cell>
          <cell r="L14">
            <v>19031</v>
          </cell>
          <cell r="M14">
            <v>21335</v>
          </cell>
          <cell r="N14">
            <v>20771</v>
          </cell>
          <cell r="O14">
            <v>24342</v>
          </cell>
          <cell r="T14">
            <v>11</v>
          </cell>
          <cell r="U14" t="str">
            <v xml:space="preserve">Industrial </v>
          </cell>
          <cell r="W14">
            <v>199841.9</v>
          </cell>
          <cell r="X14">
            <v>20098</v>
          </cell>
          <cell r="Y14">
            <v>19060</v>
          </cell>
          <cell r="Z14">
            <v>20945</v>
          </cell>
          <cell r="AA14">
            <v>16947</v>
          </cell>
          <cell r="AB14">
            <v>16585</v>
          </cell>
          <cell r="AC14">
            <v>20512</v>
          </cell>
          <cell r="AD14">
            <v>3402.9</v>
          </cell>
          <cell r="AE14">
            <v>1382</v>
          </cell>
          <cell r="AF14">
            <v>16041</v>
          </cell>
          <cell r="AG14">
            <v>23489</v>
          </cell>
          <cell r="AH14">
            <v>18663</v>
          </cell>
          <cell r="AI14">
            <v>22717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797742</v>
          </cell>
          <cell r="E16">
            <v>104477</v>
          </cell>
          <cell r="F16">
            <v>109960</v>
          </cell>
          <cell r="G16">
            <v>108823</v>
          </cell>
          <cell r="H16">
            <v>77801</v>
          </cell>
          <cell r="I16">
            <v>56075</v>
          </cell>
          <cell r="J16">
            <v>57547</v>
          </cell>
          <cell r="K16">
            <v>60926</v>
          </cell>
          <cell r="L16">
            <v>56684</v>
          </cell>
          <cell r="M16">
            <v>54501</v>
          </cell>
          <cell r="N16">
            <v>50994</v>
          </cell>
          <cell r="O16">
            <v>59954</v>
          </cell>
          <cell r="P16">
            <v>0</v>
          </cell>
          <cell r="T16">
            <v>13</v>
          </cell>
          <cell r="U16" t="str">
            <v>Total Deliveries</v>
          </cell>
          <cell r="W16">
            <v>720464.6</v>
          </cell>
          <cell r="X16">
            <v>93781</v>
          </cell>
          <cell r="Y16">
            <v>90651</v>
          </cell>
          <cell r="Z16">
            <v>79347</v>
          </cell>
          <cell r="AA16">
            <v>57794</v>
          </cell>
          <cell r="AB16">
            <v>44681</v>
          </cell>
          <cell r="AC16">
            <v>48243</v>
          </cell>
          <cell r="AD16">
            <v>51884.700000000004</v>
          </cell>
          <cell r="AE16">
            <v>28873.899999999998</v>
          </cell>
          <cell r="AF16">
            <v>49445</v>
          </cell>
          <cell r="AG16">
            <v>51049</v>
          </cell>
          <cell r="AH16">
            <v>49461</v>
          </cell>
          <cell r="AI16">
            <v>75254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BTU factor per ES volume</v>
          </cell>
          <cell r="E18">
            <v>1.0370140000000001</v>
          </cell>
          <cell r="F18">
            <v>1.0357050000000001</v>
          </cell>
          <cell r="G18">
            <v>1.0374730000000001</v>
          </cell>
          <cell r="H18">
            <v>1.03603</v>
          </cell>
          <cell r="I18">
            <v>1.036332</v>
          </cell>
          <cell r="J18">
            <v>1.0378670000000001</v>
          </cell>
          <cell r="K18">
            <v>1.0355479999999999</v>
          </cell>
          <cell r="L18">
            <v>1.0352539999999999</v>
          </cell>
          <cell r="M18">
            <v>1.0329410000000001</v>
          </cell>
          <cell r="N18">
            <v>1.033307</v>
          </cell>
          <cell r="O18">
            <v>1.036694</v>
          </cell>
          <cell r="P18">
            <v>0</v>
          </cell>
          <cell r="T18">
            <v>15</v>
          </cell>
          <cell r="X18">
            <v>1.036532</v>
          </cell>
          <cell r="Y18">
            <v>1.0381069999999999</v>
          </cell>
          <cell r="Z18">
            <v>1.03756</v>
          </cell>
          <cell r="AA18">
            <v>1.038702</v>
          </cell>
          <cell r="AB18">
            <v>1.0374890000000001</v>
          </cell>
          <cell r="AC18">
            <v>1.0361590000000001</v>
          </cell>
          <cell r="AD18">
            <v>1.0339069999999999</v>
          </cell>
          <cell r="AE18">
            <v>1.0337160000000001</v>
          </cell>
          <cell r="AF18">
            <v>1.0382199999999999</v>
          </cell>
          <cell r="AG18">
            <v>1.0341530000000001</v>
          </cell>
          <cell r="AH18">
            <v>1.037547</v>
          </cell>
          <cell r="AI18">
            <v>1.039072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254078</v>
          </cell>
          <cell r="E21">
            <v>53242</v>
          </cell>
          <cell r="F21">
            <v>57387</v>
          </cell>
          <cell r="G21">
            <v>51933</v>
          </cell>
          <cell r="H21">
            <v>25707</v>
          </cell>
          <cell r="I21">
            <v>13360</v>
          </cell>
          <cell r="J21">
            <v>9285</v>
          </cell>
          <cell r="K21">
            <v>7346</v>
          </cell>
          <cell r="L21">
            <v>7383</v>
          </cell>
          <cell r="M21">
            <v>6169</v>
          </cell>
          <cell r="N21">
            <v>6661</v>
          </cell>
          <cell r="O21">
            <v>15605</v>
          </cell>
          <cell r="P21">
            <v>0</v>
          </cell>
          <cell r="T21">
            <v>18</v>
          </cell>
          <cell r="U21" t="str">
            <v>Residential</v>
          </cell>
          <cell r="W21">
            <v>238069</v>
          </cell>
          <cell r="X21">
            <v>43207</v>
          </cell>
          <cell r="Y21">
            <v>41281</v>
          </cell>
          <cell r="Z21">
            <v>32039</v>
          </cell>
          <cell r="AA21">
            <v>23656</v>
          </cell>
          <cell r="AB21">
            <v>15826</v>
          </cell>
          <cell r="AC21">
            <v>10126</v>
          </cell>
          <cell r="AD21">
            <v>7319</v>
          </cell>
          <cell r="AE21">
            <v>6710</v>
          </cell>
          <cell r="AF21">
            <v>6935</v>
          </cell>
          <cell r="AG21">
            <v>7125</v>
          </cell>
          <cell r="AH21">
            <v>13251</v>
          </cell>
          <cell r="AI21">
            <v>30594</v>
          </cell>
        </row>
        <row r="22">
          <cell r="A22">
            <v>19</v>
          </cell>
          <cell r="B22" t="str">
            <v>Commercial</v>
          </cell>
          <cell r="D22">
            <v>330590</v>
          </cell>
          <cell r="E22">
            <v>34819</v>
          </cell>
          <cell r="F22">
            <v>37072</v>
          </cell>
          <cell r="G22">
            <v>36473</v>
          </cell>
          <cell r="H22">
            <v>30535</v>
          </cell>
          <cell r="I22">
            <v>23959</v>
          </cell>
          <cell r="J22">
            <v>27478</v>
          </cell>
          <cell r="K22">
            <v>34685</v>
          </cell>
          <cell r="L22">
            <v>31597</v>
          </cell>
          <cell r="M22">
            <v>28090</v>
          </cell>
          <cell r="N22">
            <v>24569</v>
          </cell>
          <cell r="O22">
            <v>21313</v>
          </cell>
          <cell r="P22">
            <v>0</v>
          </cell>
          <cell r="T22">
            <v>19</v>
          </cell>
          <cell r="U22" t="str">
            <v>Commercial</v>
          </cell>
          <cell r="W22">
            <v>301800</v>
          </cell>
          <cell r="X22">
            <v>33168</v>
          </cell>
          <cell r="Y22">
            <v>33038</v>
          </cell>
          <cell r="Z22">
            <v>28557</v>
          </cell>
          <cell r="AA22">
            <v>18771</v>
          </cell>
          <cell r="AB22">
            <v>13323</v>
          </cell>
          <cell r="AC22">
            <v>18607</v>
          </cell>
          <cell r="AD22">
            <v>42807</v>
          </cell>
          <cell r="AE22">
            <v>21709</v>
          </cell>
          <cell r="AF22">
            <v>27745</v>
          </cell>
          <cell r="AG22">
            <v>21376</v>
          </cell>
          <cell r="AH22">
            <v>18704</v>
          </cell>
          <cell r="AI22">
            <v>23995</v>
          </cell>
        </row>
        <row r="23">
          <cell r="A23">
            <v>20</v>
          </cell>
          <cell r="B23" t="str">
            <v xml:space="preserve">Industrial </v>
          </cell>
          <cell r="D23">
            <v>241823</v>
          </cell>
          <cell r="E23">
            <v>20283</v>
          </cell>
          <cell r="F23">
            <v>19427</v>
          </cell>
          <cell r="G23">
            <v>24495</v>
          </cell>
          <cell r="H23">
            <v>24362</v>
          </cell>
          <cell r="I23">
            <v>20793</v>
          </cell>
          <cell r="J23">
            <v>22964</v>
          </cell>
          <cell r="K23">
            <v>21061</v>
          </cell>
          <cell r="L23">
            <v>19702</v>
          </cell>
          <cell r="M23">
            <v>22038</v>
          </cell>
          <cell r="N23">
            <v>21463</v>
          </cell>
          <cell r="O23">
            <v>25235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207275</v>
          </cell>
          <cell r="X23">
            <v>20832</v>
          </cell>
          <cell r="Y23">
            <v>19786</v>
          </cell>
          <cell r="Z23">
            <v>21732</v>
          </cell>
          <cell r="AA23">
            <v>17603</v>
          </cell>
          <cell r="AB23">
            <v>17207</v>
          </cell>
          <cell r="AC23">
            <v>21254</v>
          </cell>
          <cell r="AD23">
            <v>3518</v>
          </cell>
          <cell r="AE23">
            <v>1429</v>
          </cell>
          <cell r="AF23">
            <v>16654</v>
          </cell>
          <cell r="AG23">
            <v>24291</v>
          </cell>
          <cell r="AH23">
            <v>19364</v>
          </cell>
          <cell r="AI23">
            <v>23605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826491</v>
          </cell>
          <cell r="E25">
            <v>108344</v>
          </cell>
          <cell r="F25">
            <v>113886</v>
          </cell>
          <cell r="G25">
            <v>112901</v>
          </cell>
          <cell r="H25">
            <v>80604</v>
          </cell>
          <cell r="I25">
            <v>58112</v>
          </cell>
          <cell r="J25">
            <v>59727</v>
          </cell>
          <cell r="K25">
            <v>63092</v>
          </cell>
          <cell r="L25">
            <v>58682</v>
          </cell>
          <cell r="M25">
            <v>56297</v>
          </cell>
          <cell r="N25">
            <v>52693</v>
          </cell>
          <cell r="O25">
            <v>62153</v>
          </cell>
          <cell r="P25">
            <v>0</v>
          </cell>
          <cell r="T25">
            <v>22</v>
          </cell>
          <cell r="U25" t="str">
            <v>Total Deliveries</v>
          </cell>
          <cell r="W25">
            <v>747144</v>
          </cell>
          <cell r="X25">
            <v>97207</v>
          </cell>
          <cell r="Y25">
            <v>94105</v>
          </cell>
          <cell r="Z25">
            <v>82328</v>
          </cell>
          <cell r="AA25">
            <v>60030</v>
          </cell>
          <cell r="AB25">
            <v>46356</v>
          </cell>
          <cell r="AC25">
            <v>49987</v>
          </cell>
          <cell r="AD25">
            <v>53644</v>
          </cell>
          <cell r="AE25">
            <v>29848</v>
          </cell>
          <cell r="AF25">
            <v>51334</v>
          </cell>
          <cell r="AG25">
            <v>52792</v>
          </cell>
          <cell r="AH25">
            <v>51319</v>
          </cell>
          <cell r="AI25">
            <v>78194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11080</v>
          </cell>
          <cell r="F28">
            <v>11080</v>
          </cell>
          <cell r="G28">
            <v>11096</v>
          </cell>
          <cell r="H28">
            <v>11113</v>
          </cell>
          <cell r="I28">
            <v>11149</v>
          </cell>
          <cell r="J28">
            <v>11178</v>
          </cell>
          <cell r="K28">
            <v>11185</v>
          </cell>
          <cell r="L28">
            <v>11196</v>
          </cell>
          <cell r="M28">
            <v>11207</v>
          </cell>
          <cell r="N28">
            <v>11214</v>
          </cell>
          <cell r="O28">
            <v>11210</v>
          </cell>
          <cell r="P28">
            <v>11210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104633</v>
          </cell>
          <cell r="F29">
            <v>102134</v>
          </cell>
          <cell r="G29">
            <v>89526</v>
          </cell>
          <cell r="H29">
            <v>58993</v>
          </cell>
          <cell r="I29">
            <v>49398</v>
          </cell>
          <cell r="J29">
            <v>57817</v>
          </cell>
          <cell r="K29">
            <v>59820</v>
          </cell>
          <cell r="L29">
            <v>61365</v>
          </cell>
          <cell r="M29">
            <v>61688</v>
          </cell>
          <cell r="N29">
            <v>60851</v>
          </cell>
          <cell r="O29">
            <v>72277</v>
          </cell>
          <cell r="P29">
            <v>96620</v>
          </cell>
          <cell r="T29">
            <v>26</v>
          </cell>
        </row>
        <row r="30">
          <cell r="A30">
            <v>27</v>
          </cell>
          <cell r="B30" t="str">
            <v>Budget Volume (Dts) * 1.035</v>
          </cell>
          <cell r="E30">
            <v>108295.155</v>
          </cell>
          <cell r="F30">
            <v>105708.68999999999</v>
          </cell>
          <cell r="G30">
            <v>92659.409999999989</v>
          </cell>
          <cell r="H30">
            <v>61057.754999999997</v>
          </cell>
          <cell r="I30">
            <v>51126.929999999993</v>
          </cell>
          <cell r="J30">
            <v>59840.594999999994</v>
          </cell>
          <cell r="K30">
            <v>61913.7</v>
          </cell>
          <cell r="L30">
            <v>63512.774999999994</v>
          </cell>
          <cell r="M30">
            <v>63847.079999999994</v>
          </cell>
          <cell r="N30">
            <v>62980.784999999996</v>
          </cell>
          <cell r="O30">
            <v>74806.694999999992</v>
          </cell>
          <cell r="P30">
            <v>100001.7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9984</v>
          </cell>
          <cell r="F34">
            <v>9988</v>
          </cell>
          <cell r="G34">
            <v>9992</v>
          </cell>
          <cell r="H34">
            <v>9992</v>
          </cell>
          <cell r="I34">
            <v>9989</v>
          </cell>
          <cell r="J34">
            <v>9985</v>
          </cell>
          <cell r="K34">
            <v>9983</v>
          </cell>
          <cell r="L34">
            <v>9985</v>
          </cell>
          <cell r="M34">
            <v>9987</v>
          </cell>
          <cell r="N34">
            <v>9989</v>
          </cell>
          <cell r="O34">
            <v>9994</v>
          </cell>
          <cell r="P34">
            <v>9994</v>
          </cell>
          <cell r="T34">
            <v>31</v>
          </cell>
          <cell r="U34" t="str">
            <v>Residential</v>
          </cell>
          <cell r="X34">
            <v>9786</v>
          </cell>
          <cell r="Y34">
            <v>9789</v>
          </cell>
          <cell r="Z34">
            <v>9796</v>
          </cell>
          <cell r="AA34">
            <v>9801</v>
          </cell>
          <cell r="AB34">
            <v>9804</v>
          </cell>
          <cell r="AC34">
            <v>9811</v>
          </cell>
          <cell r="AD34">
            <v>9816</v>
          </cell>
          <cell r="AE34">
            <v>9821</v>
          </cell>
          <cell r="AF34">
            <v>9825</v>
          </cell>
          <cell r="AG34">
            <v>9830</v>
          </cell>
          <cell r="AH34">
            <v>9836</v>
          </cell>
          <cell r="AI34">
            <v>9846</v>
          </cell>
        </row>
        <row r="35">
          <cell r="A35">
            <v>32</v>
          </cell>
          <cell r="B35" t="str">
            <v>Commercial</v>
          </cell>
          <cell r="E35">
            <v>1086</v>
          </cell>
          <cell r="F35">
            <v>1083</v>
          </cell>
          <cell r="G35">
            <v>1082</v>
          </cell>
          <cell r="H35">
            <v>1084</v>
          </cell>
          <cell r="I35">
            <v>1089</v>
          </cell>
          <cell r="J35">
            <v>1093</v>
          </cell>
          <cell r="K35">
            <v>1096</v>
          </cell>
          <cell r="L35">
            <v>1099</v>
          </cell>
          <cell r="M35">
            <v>1102</v>
          </cell>
          <cell r="N35">
            <v>1103</v>
          </cell>
          <cell r="O35">
            <v>1103</v>
          </cell>
          <cell r="P35">
            <v>1103</v>
          </cell>
          <cell r="T35">
            <v>32</v>
          </cell>
          <cell r="U35" t="str">
            <v>Commercial</v>
          </cell>
          <cell r="X35">
            <v>1087</v>
          </cell>
          <cell r="Y35">
            <v>1084</v>
          </cell>
          <cell r="Z35">
            <v>1080</v>
          </cell>
          <cell r="AA35">
            <v>1081</v>
          </cell>
          <cell r="AB35">
            <v>1082</v>
          </cell>
          <cell r="AC35">
            <v>1086</v>
          </cell>
          <cell r="AD35">
            <v>1089</v>
          </cell>
          <cell r="AE35">
            <v>1092</v>
          </cell>
          <cell r="AF35">
            <v>1093</v>
          </cell>
          <cell r="AG35">
            <v>1098</v>
          </cell>
          <cell r="AH35">
            <v>1097</v>
          </cell>
          <cell r="AI35">
            <v>1096</v>
          </cell>
        </row>
        <row r="36">
          <cell r="A36">
            <v>33</v>
          </cell>
          <cell r="B36" t="str">
            <v xml:space="preserve">Industrial </v>
          </cell>
          <cell r="E36">
            <v>36</v>
          </cell>
          <cell r="F36">
            <v>36</v>
          </cell>
          <cell r="G36">
            <v>34</v>
          </cell>
          <cell r="H36">
            <v>34</v>
          </cell>
          <cell r="I36">
            <v>35</v>
          </cell>
          <cell r="J36">
            <v>35</v>
          </cell>
          <cell r="K36">
            <v>35</v>
          </cell>
          <cell r="L36">
            <v>35</v>
          </cell>
          <cell r="M36">
            <v>35</v>
          </cell>
          <cell r="N36">
            <v>36</v>
          </cell>
          <cell r="O36">
            <v>36</v>
          </cell>
          <cell r="P36">
            <v>36</v>
          </cell>
          <cell r="T36">
            <v>33</v>
          </cell>
          <cell r="U36" t="str">
            <v xml:space="preserve">Industrial </v>
          </cell>
          <cell r="X36">
            <v>31</v>
          </cell>
          <cell r="Y36">
            <v>34</v>
          </cell>
          <cell r="Z36">
            <v>32</v>
          </cell>
          <cell r="AA36">
            <v>33</v>
          </cell>
          <cell r="AB36">
            <v>33</v>
          </cell>
          <cell r="AC36">
            <v>34</v>
          </cell>
          <cell r="AD36">
            <v>34</v>
          </cell>
          <cell r="AE36">
            <v>34</v>
          </cell>
          <cell r="AF36">
            <v>35</v>
          </cell>
          <cell r="AG36">
            <v>31</v>
          </cell>
          <cell r="AH36">
            <v>32</v>
          </cell>
          <cell r="AI36">
            <v>32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11106</v>
          </cell>
          <cell r="F38">
            <v>11107</v>
          </cell>
          <cell r="G38">
            <v>11108</v>
          </cell>
          <cell r="H38">
            <v>11110</v>
          </cell>
          <cell r="I38">
            <v>11113</v>
          </cell>
          <cell r="J38">
            <v>11113</v>
          </cell>
          <cell r="K38">
            <v>11114</v>
          </cell>
          <cell r="L38">
            <v>11119</v>
          </cell>
          <cell r="M38">
            <v>11124</v>
          </cell>
          <cell r="N38">
            <v>11128</v>
          </cell>
          <cell r="O38">
            <v>11133</v>
          </cell>
          <cell r="P38">
            <v>11133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10904</v>
          </cell>
          <cell r="Y38">
            <v>10907</v>
          </cell>
          <cell r="Z38">
            <v>10908</v>
          </cell>
          <cell r="AA38">
            <v>10915</v>
          </cell>
          <cell r="AB38">
            <v>10919</v>
          </cell>
          <cell r="AC38">
            <v>10931</v>
          </cell>
          <cell r="AD38">
            <v>10939</v>
          </cell>
          <cell r="AE38">
            <v>10947</v>
          </cell>
          <cell r="AF38">
            <v>10953</v>
          </cell>
          <cell r="AG38">
            <v>10959</v>
          </cell>
          <cell r="AH38">
            <v>10965</v>
          </cell>
          <cell r="AI38">
            <v>10974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51342</v>
          </cell>
          <cell r="F41">
            <v>106751</v>
          </cell>
          <cell r="G41">
            <v>156808</v>
          </cell>
          <cell r="H41">
            <v>181621</v>
          </cell>
          <cell r="I41">
            <v>194513</v>
          </cell>
          <cell r="J41">
            <v>203459</v>
          </cell>
          <cell r="K41">
            <v>210553</v>
          </cell>
          <cell r="L41">
            <v>217685</v>
          </cell>
          <cell r="M41">
            <v>223657</v>
          </cell>
          <cell r="N41">
            <v>230103</v>
          </cell>
          <cell r="O41">
            <v>245156</v>
          </cell>
          <cell r="P41">
            <v>245156</v>
          </cell>
          <cell r="T41">
            <v>38</v>
          </cell>
          <cell r="U41" t="str">
            <v>Residential</v>
          </cell>
          <cell r="X41">
            <v>41684</v>
          </cell>
          <cell r="Y41">
            <v>81450</v>
          </cell>
          <cell r="Z41">
            <v>112329</v>
          </cell>
          <cell r="AA41">
            <v>135104</v>
          </cell>
          <cell r="AB41">
            <v>150358</v>
          </cell>
          <cell r="AC41">
            <v>160131</v>
          </cell>
          <cell r="AD41">
            <v>167209.5</v>
          </cell>
          <cell r="AE41">
            <v>173700.3</v>
          </cell>
          <cell r="AF41">
            <v>180380.3</v>
          </cell>
          <cell r="AG41">
            <v>187270.3</v>
          </cell>
          <cell r="AH41">
            <v>200041.3</v>
          </cell>
          <cell r="AI41">
            <v>229485.3</v>
          </cell>
        </row>
        <row r="42">
          <cell r="A42">
            <v>39</v>
          </cell>
          <cell r="B42" t="str">
            <v>Commercial</v>
          </cell>
          <cell r="E42">
            <v>33576</v>
          </cell>
          <cell r="F42">
            <v>69370</v>
          </cell>
          <cell r="G42">
            <v>104526</v>
          </cell>
          <cell r="H42">
            <v>133999</v>
          </cell>
          <cell r="I42">
            <v>157118</v>
          </cell>
          <cell r="J42">
            <v>183593</v>
          </cell>
          <cell r="K42">
            <v>217087</v>
          </cell>
          <cell r="L42">
            <v>247608</v>
          </cell>
          <cell r="M42">
            <v>274802</v>
          </cell>
          <cell r="N42">
            <v>298579</v>
          </cell>
          <cell r="O42">
            <v>319138</v>
          </cell>
          <cell r="P42">
            <v>319138</v>
          </cell>
          <cell r="T42">
            <v>39</v>
          </cell>
          <cell r="U42" t="str">
            <v>Commercial</v>
          </cell>
          <cell r="X42">
            <v>31999</v>
          </cell>
          <cell r="Y42">
            <v>63824</v>
          </cell>
          <cell r="Z42">
            <v>91347</v>
          </cell>
          <cell r="AA42">
            <v>109419</v>
          </cell>
          <cell r="AB42">
            <v>122261</v>
          </cell>
          <cell r="AC42">
            <v>140219</v>
          </cell>
          <cell r="AD42">
            <v>181622.3</v>
          </cell>
          <cell r="AE42">
            <v>202623.4</v>
          </cell>
          <cell r="AF42">
            <v>229347.4</v>
          </cell>
          <cell r="AG42">
            <v>250017.4</v>
          </cell>
          <cell r="AH42">
            <v>268044.40000000002</v>
          </cell>
          <cell r="AI42">
            <v>291137.40000000002</v>
          </cell>
        </row>
        <row r="43">
          <cell r="A43">
            <v>40</v>
          </cell>
          <cell r="B43" t="str">
            <v xml:space="preserve">Industrial </v>
          </cell>
          <cell r="E43">
            <v>19559</v>
          </cell>
          <cell r="F43">
            <v>38316</v>
          </cell>
          <cell r="G43">
            <v>61926</v>
          </cell>
          <cell r="H43">
            <v>85441</v>
          </cell>
          <cell r="I43">
            <v>105505</v>
          </cell>
          <cell r="J43">
            <v>127631</v>
          </cell>
          <cell r="K43">
            <v>147969</v>
          </cell>
          <cell r="L43">
            <v>167000</v>
          </cell>
          <cell r="M43">
            <v>188335</v>
          </cell>
          <cell r="N43">
            <v>209106</v>
          </cell>
          <cell r="O43">
            <v>233448</v>
          </cell>
          <cell r="P43">
            <v>233448</v>
          </cell>
          <cell r="T43">
            <v>40</v>
          </cell>
          <cell r="U43" t="str">
            <v xml:space="preserve">Industrial </v>
          </cell>
          <cell r="X43">
            <v>20098</v>
          </cell>
          <cell r="Y43">
            <v>39158</v>
          </cell>
          <cell r="Z43">
            <v>60103</v>
          </cell>
          <cell r="AA43">
            <v>77050</v>
          </cell>
          <cell r="AB43">
            <v>93635</v>
          </cell>
          <cell r="AC43">
            <v>114147</v>
          </cell>
          <cell r="AD43">
            <v>117549.9</v>
          </cell>
          <cell r="AE43">
            <v>118931.9</v>
          </cell>
          <cell r="AF43">
            <v>134972.9</v>
          </cell>
          <cell r="AG43">
            <v>158461.9</v>
          </cell>
          <cell r="AH43">
            <v>177124.9</v>
          </cell>
          <cell r="AI43">
            <v>199841.9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104477</v>
          </cell>
          <cell r="F45">
            <v>214437</v>
          </cell>
          <cell r="G45">
            <v>323260</v>
          </cell>
          <cell r="H45">
            <v>401061</v>
          </cell>
          <cell r="I45">
            <v>457136</v>
          </cell>
          <cell r="J45">
            <v>514683</v>
          </cell>
          <cell r="K45">
            <v>575609</v>
          </cell>
          <cell r="L45">
            <v>632293</v>
          </cell>
          <cell r="M45">
            <v>686794</v>
          </cell>
          <cell r="N45">
            <v>737788</v>
          </cell>
          <cell r="O45">
            <v>797742</v>
          </cell>
          <cell r="P45">
            <v>797742</v>
          </cell>
          <cell r="T45">
            <v>42</v>
          </cell>
          <cell r="U45" t="str">
            <v>Total Volume</v>
          </cell>
          <cell r="X45">
            <v>93781</v>
          </cell>
          <cell r="Y45">
            <v>184432</v>
          </cell>
          <cell r="Z45">
            <v>263779</v>
          </cell>
          <cell r="AA45">
            <v>321573</v>
          </cell>
          <cell r="AB45">
            <v>366254</v>
          </cell>
          <cell r="AC45">
            <v>414497</v>
          </cell>
          <cell r="AD45">
            <v>466381.69999999995</v>
          </cell>
          <cell r="AE45">
            <v>495255.6</v>
          </cell>
          <cell r="AF45">
            <v>544700.6</v>
          </cell>
          <cell r="AG45">
            <v>595749.6</v>
          </cell>
          <cell r="AH45">
            <v>645210.6</v>
          </cell>
          <cell r="AI45">
            <v>720464.6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53242</v>
          </cell>
          <cell r="F48">
            <v>110629</v>
          </cell>
          <cell r="G48">
            <v>162562</v>
          </cell>
          <cell r="H48">
            <v>188269</v>
          </cell>
          <cell r="I48">
            <v>201629</v>
          </cell>
          <cell r="J48">
            <v>210914</v>
          </cell>
          <cell r="K48">
            <v>218260</v>
          </cell>
          <cell r="L48">
            <v>225643</v>
          </cell>
          <cell r="M48">
            <v>231812</v>
          </cell>
          <cell r="N48">
            <v>238473</v>
          </cell>
          <cell r="O48">
            <v>254078</v>
          </cell>
          <cell r="P48">
            <v>254078</v>
          </cell>
          <cell r="T48">
            <v>45</v>
          </cell>
          <cell r="U48" t="str">
            <v>Residential</v>
          </cell>
          <cell r="X48">
            <v>43207</v>
          </cell>
          <cell r="Y48">
            <v>84488</v>
          </cell>
          <cell r="Z48">
            <v>116527</v>
          </cell>
          <cell r="AA48">
            <v>140183</v>
          </cell>
          <cell r="AB48">
            <v>156009</v>
          </cell>
          <cell r="AC48">
            <v>166135</v>
          </cell>
          <cell r="AD48">
            <v>173454</v>
          </cell>
          <cell r="AE48">
            <v>180164</v>
          </cell>
          <cell r="AF48">
            <v>187099</v>
          </cell>
          <cell r="AG48">
            <v>194224</v>
          </cell>
          <cell r="AH48">
            <v>207475</v>
          </cell>
          <cell r="AI48">
            <v>238069</v>
          </cell>
        </row>
        <row r="49">
          <cell r="A49">
            <v>46</v>
          </cell>
          <cell r="B49" t="str">
            <v>Commercial</v>
          </cell>
          <cell r="E49">
            <v>34819</v>
          </cell>
          <cell r="F49">
            <v>71891</v>
          </cell>
          <cell r="G49">
            <v>108364</v>
          </cell>
          <cell r="H49">
            <v>138899</v>
          </cell>
          <cell r="I49">
            <v>162858</v>
          </cell>
          <cell r="J49">
            <v>190336</v>
          </cell>
          <cell r="K49">
            <v>225021</v>
          </cell>
          <cell r="L49">
            <v>256618</v>
          </cell>
          <cell r="M49">
            <v>284708</v>
          </cell>
          <cell r="N49">
            <v>309277</v>
          </cell>
          <cell r="O49">
            <v>330590</v>
          </cell>
          <cell r="P49">
            <v>330590</v>
          </cell>
          <cell r="T49">
            <v>46</v>
          </cell>
          <cell r="U49" t="str">
            <v>Commercial</v>
          </cell>
          <cell r="X49">
            <v>33168</v>
          </cell>
          <cell r="Y49">
            <v>66206</v>
          </cell>
          <cell r="Z49">
            <v>94763</v>
          </cell>
          <cell r="AA49">
            <v>113534</v>
          </cell>
          <cell r="AB49">
            <v>126857</v>
          </cell>
          <cell r="AC49">
            <v>145464</v>
          </cell>
          <cell r="AD49">
            <v>188271</v>
          </cell>
          <cell r="AE49">
            <v>209980</v>
          </cell>
          <cell r="AF49">
            <v>237725</v>
          </cell>
          <cell r="AG49">
            <v>259101</v>
          </cell>
          <cell r="AH49">
            <v>277805</v>
          </cell>
          <cell r="AI49">
            <v>301800</v>
          </cell>
        </row>
        <row r="50">
          <cell r="A50">
            <v>47</v>
          </cell>
          <cell r="B50" t="str">
            <v xml:space="preserve">Industrial </v>
          </cell>
          <cell r="E50">
            <v>20283</v>
          </cell>
          <cell r="F50">
            <v>39710</v>
          </cell>
          <cell r="G50">
            <v>64205</v>
          </cell>
          <cell r="H50">
            <v>88567</v>
          </cell>
          <cell r="I50">
            <v>109360</v>
          </cell>
          <cell r="J50">
            <v>132324</v>
          </cell>
          <cell r="K50">
            <v>153385</v>
          </cell>
          <cell r="L50">
            <v>173087</v>
          </cell>
          <cell r="M50">
            <v>195125</v>
          </cell>
          <cell r="N50">
            <v>216588</v>
          </cell>
          <cell r="O50">
            <v>241823</v>
          </cell>
          <cell r="P50">
            <v>241823</v>
          </cell>
          <cell r="T50">
            <v>47</v>
          </cell>
          <cell r="U50" t="str">
            <v xml:space="preserve">Industrial </v>
          </cell>
          <cell r="X50">
            <v>20832</v>
          </cell>
          <cell r="Y50">
            <v>40618</v>
          </cell>
          <cell r="Z50">
            <v>62350</v>
          </cell>
          <cell r="AA50">
            <v>79953</v>
          </cell>
          <cell r="AB50">
            <v>97160</v>
          </cell>
          <cell r="AC50">
            <v>118414</v>
          </cell>
          <cell r="AD50">
            <v>121932</v>
          </cell>
          <cell r="AE50">
            <v>123361</v>
          </cell>
          <cell r="AF50">
            <v>140015</v>
          </cell>
          <cell r="AG50">
            <v>164306</v>
          </cell>
          <cell r="AH50">
            <v>183670</v>
          </cell>
          <cell r="AI50">
            <v>207275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108344</v>
          </cell>
          <cell r="F52">
            <v>222230</v>
          </cell>
          <cell r="G52">
            <v>335131</v>
          </cell>
          <cell r="H52">
            <v>415735</v>
          </cell>
          <cell r="I52">
            <v>473847</v>
          </cell>
          <cell r="J52">
            <v>533574</v>
          </cell>
          <cell r="K52">
            <v>596666</v>
          </cell>
          <cell r="L52">
            <v>655348</v>
          </cell>
          <cell r="M52">
            <v>711645</v>
          </cell>
          <cell r="N52">
            <v>764338</v>
          </cell>
          <cell r="O52">
            <v>826491</v>
          </cell>
          <cell r="P52">
            <v>826491</v>
          </cell>
          <cell r="T52">
            <v>49</v>
          </cell>
          <cell r="U52" t="str">
            <v>Total Volume</v>
          </cell>
          <cell r="W52">
            <v>0</v>
          </cell>
          <cell r="X52">
            <v>97207</v>
          </cell>
          <cell r="Y52">
            <v>191312</v>
          </cell>
          <cell r="Z52">
            <v>273640</v>
          </cell>
          <cell r="AA52">
            <v>333670</v>
          </cell>
          <cell r="AB52">
            <v>380026</v>
          </cell>
          <cell r="AC52">
            <v>430013</v>
          </cell>
          <cell r="AD52">
            <v>483657</v>
          </cell>
          <cell r="AE52">
            <v>513505</v>
          </cell>
          <cell r="AF52">
            <v>564839</v>
          </cell>
          <cell r="AG52">
            <v>617631</v>
          </cell>
          <cell r="AH52">
            <v>668950</v>
          </cell>
          <cell r="AI52">
            <v>747144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11080</v>
          </cell>
          <cell r="F55">
            <v>11080</v>
          </cell>
          <cell r="G55">
            <v>11085</v>
          </cell>
          <cell r="H55">
            <v>11092</v>
          </cell>
          <cell r="I55">
            <v>11104</v>
          </cell>
          <cell r="J55">
            <v>11116</v>
          </cell>
          <cell r="K55">
            <v>11126</v>
          </cell>
          <cell r="L55">
            <v>11135</v>
          </cell>
          <cell r="M55">
            <v>11143</v>
          </cell>
          <cell r="N55">
            <v>11150</v>
          </cell>
          <cell r="O55">
            <v>11155</v>
          </cell>
          <cell r="P55">
            <v>11160</v>
          </cell>
        </row>
        <row r="56">
          <cell r="A56">
            <v>53</v>
          </cell>
          <cell r="B56" t="str">
            <v>Cumulative Budget YTD Volume (Mcfs)</v>
          </cell>
          <cell r="E56">
            <v>104633</v>
          </cell>
          <cell r="F56">
            <v>206767</v>
          </cell>
          <cell r="G56">
            <v>296293</v>
          </cell>
          <cell r="H56">
            <v>355286</v>
          </cell>
          <cell r="I56">
            <v>404684</v>
          </cell>
          <cell r="J56">
            <v>462501</v>
          </cell>
          <cell r="K56">
            <v>522321</v>
          </cell>
          <cell r="L56">
            <v>583686</v>
          </cell>
          <cell r="M56">
            <v>645374</v>
          </cell>
          <cell r="N56">
            <v>706225</v>
          </cell>
          <cell r="O56">
            <v>778502</v>
          </cell>
          <cell r="P56">
            <v>875122</v>
          </cell>
        </row>
        <row r="57">
          <cell r="A57">
            <v>54</v>
          </cell>
          <cell r="B57" t="str">
            <v>Cumulative YTD Budget Volume (Dts) * 1.035</v>
          </cell>
          <cell r="E57">
            <v>108295.155</v>
          </cell>
          <cell r="F57">
            <v>214003.84499999997</v>
          </cell>
          <cell r="G57">
            <v>306663.25499999995</v>
          </cell>
          <cell r="H57">
            <v>367721.00999999995</v>
          </cell>
          <cell r="I57">
            <v>418847.93999999994</v>
          </cell>
          <cell r="J57">
            <v>478688.53499999992</v>
          </cell>
          <cell r="K57">
            <v>540602.23499999987</v>
          </cell>
          <cell r="L57">
            <v>604115.00999999989</v>
          </cell>
          <cell r="M57">
            <v>667962.08999999985</v>
          </cell>
          <cell r="N57">
            <v>730942.87499999988</v>
          </cell>
          <cell r="O57">
            <v>805749.56999999983</v>
          </cell>
          <cell r="P57">
            <v>905751.26999999979</v>
          </cell>
        </row>
      </sheetData>
      <sheetData sheetId="13" refreshError="1"/>
      <sheetData sheetId="14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D5">
            <v>18618.18181818182</v>
          </cell>
          <cell r="E5">
            <v>18531</v>
          </cell>
          <cell r="F5">
            <v>18540</v>
          </cell>
          <cell r="G5">
            <v>18604</v>
          </cell>
          <cell r="H5">
            <v>18681</v>
          </cell>
          <cell r="I5">
            <v>18729</v>
          </cell>
          <cell r="J5">
            <v>18643</v>
          </cell>
          <cell r="K5">
            <v>18640</v>
          </cell>
          <cell r="L5">
            <v>18608</v>
          </cell>
          <cell r="M5">
            <v>18627</v>
          </cell>
          <cell r="N5">
            <v>18572</v>
          </cell>
          <cell r="O5">
            <v>18625</v>
          </cell>
          <cell r="T5">
            <v>2</v>
          </cell>
          <cell r="U5" t="str">
            <v>Residential</v>
          </cell>
          <cell r="V5">
            <v>1777</v>
          </cell>
          <cell r="W5">
            <v>19548.545454545456</v>
          </cell>
          <cell r="X5">
            <v>17606</v>
          </cell>
          <cell r="Y5">
            <v>17656</v>
          </cell>
          <cell r="Z5">
            <v>17720</v>
          </cell>
          <cell r="AA5">
            <v>17735</v>
          </cell>
          <cell r="AB5">
            <v>17762</v>
          </cell>
          <cell r="AC5">
            <v>17791</v>
          </cell>
          <cell r="AD5">
            <v>17861</v>
          </cell>
          <cell r="AE5">
            <v>17910</v>
          </cell>
          <cell r="AF5">
            <v>18019</v>
          </cell>
          <cell r="AG5">
            <v>18123</v>
          </cell>
          <cell r="AH5">
            <v>18368</v>
          </cell>
          <cell r="AI5">
            <v>18483</v>
          </cell>
        </row>
        <row r="6">
          <cell r="A6">
            <v>3</v>
          </cell>
          <cell r="B6" t="str">
            <v>Commercial</v>
          </cell>
          <cell r="D6">
            <v>1606.3636363636363</v>
          </cell>
          <cell r="E6">
            <v>1600</v>
          </cell>
          <cell r="F6">
            <v>1599</v>
          </cell>
          <cell r="G6">
            <v>1602</v>
          </cell>
          <cell r="H6">
            <v>1606</v>
          </cell>
          <cell r="I6">
            <v>1607</v>
          </cell>
          <cell r="J6">
            <v>1609</v>
          </cell>
          <cell r="K6">
            <v>1601</v>
          </cell>
          <cell r="L6">
            <v>1610</v>
          </cell>
          <cell r="M6">
            <v>1608</v>
          </cell>
          <cell r="N6">
            <v>1612</v>
          </cell>
          <cell r="O6">
            <v>1616</v>
          </cell>
          <cell r="T6">
            <v>3</v>
          </cell>
          <cell r="U6" t="str">
            <v>Commercial</v>
          </cell>
          <cell r="V6">
            <v>157</v>
          </cell>
          <cell r="W6">
            <v>1728.4545454545455</v>
          </cell>
          <cell r="X6">
            <v>1580</v>
          </cell>
          <cell r="Y6">
            <v>1579</v>
          </cell>
          <cell r="Z6">
            <v>1584</v>
          </cell>
          <cell r="AA6">
            <v>1585</v>
          </cell>
          <cell r="AB6">
            <v>1585</v>
          </cell>
          <cell r="AC6">
            <v>1579</v>
          </cell>
          <cell r="AD6">
            <v>1574</v>
          </cell>
          <cell r="AE6">
            <v>1587</v>
          </cell>
          <cell r="AF6">
            <v>1587</v>
          </cell>
          <cell r="AG6">
            <v>1592</v>
          </cell>
          <cell r="AH6">
            <v>1591</v>
          </cell>
          <cell r="AI6">
            <v>1590</v>
          </cell>
        </row>
        <row r="7">
          <cell r="A7">
            <v>4</v>
          </cell>
          <cell r="B7" t="str">
            <v xml:space="preserve">Industrial </v>
          </cell>
          <cell r="D7">
            <v>16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T7">
            <v>4</v>
          </cell>
          <cell r="U7" t="str">
            <v xml:space="preserve">Industrial </v>
          </cell>
          <cell r="V7">
            <v>2</v>
          </cell>
          <cell r="W7">
            <v>17.454545454545453</v>
          </cell>
          <cell r="X7">
            <v>16</v>
          </cell>
          <cell r="Y7">
            <v>16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16</v>
          </cell>
          <cell r="AG7">
            <v>16</v>
          </cell>
          <cell r="AH7">
            <v>16</v>
          </cell>
          <cell r="AI7">
            <v>16</v>
          </cell>
        </row>
        <row r="8">
          <cell r="A8">
            <v>5</v>
          </cell>
          <cell r="B8" t="str">
            <v>Other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T8">
            <v>5</v>
          </cell>
          <cell r="U8" t="str">
            <v xml:space="preserve">Interruptible 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A9">
            <v>6</v>
          </cell>
          <cell r="B9" t="str">
            <v>Total customers</v>
          </cell>
          <cell r="D9">
            <v>20240.545454545456</v>
          </cell>
          <cell r="E9">
            <v>20147</v>
          </cell>
          <cell r="F9">
            <v>20155</v>
          </cell>
          <cell r="G9">
            <v>20222</v>
          </cell>
          <cell r="H9">
            <v>20303</v>
          </cell>
          <cell r="I9">
            <v>20352</v>
          </cell>
          <cell r="J9">
            <v>20268</v>
          </cell>
          <cell r="K9">
            <v>20257</v>
          </cell>
          <cell r="L9">
            <v>20234</v>
          </cell>
          <cell r="M9">
            <v>20251</v>
          </cell>
          <cell r="N9">
            <v>20200</v>
          </cell>
          <cell r="O9">
            <v>20257</v>
          </cell>
          <cell r="P9">
            <v>0</v>
          </cell>
          <cell r="T9">
            <v>6</v>
          </cell>
          <cell r="U9" t="str">
            <v>Total customers</v>
          </cell>
          <cell r="V9">
            <v>1936</v>
          </cell>
          <cell r="W9">
            <v>21294.454545454544</v>
          </cell>
          <cell r="X9">
            <v>19202</v>
          </cell>
          <cell r="Y9">
            <v>19251</v>
          </cell>
          <cell r="Z9">
            <v>19320</v>
          </cell>
          <cell r="AA9">
            <v>19336</v>
          </cell>
          <cell r="AB9">
            <v>19363</v>
          </cell>
          <cell r="AC9">
            <v>19386</v>
          </cell>
          <cell r="AD9">
            <v>19451</v>
          </cell>
          <cell r="AE9">
            <v>19513</v>
          </cell>
          <cell r="AF9">
            <v>19622</v>
          </cell>
          <cell r="AG9">
            <v>19731</v>
          </cell>
          <cell r="AH9">
            <v>19975</v>
          </cell>
          <cell r="AI9">
            <v>20089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- 2021 (Mcfs)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- 2020 - mcfs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D12">
            <v>339024.93426818674</v>
          </cell>
          <cell r="E12">
            <v>56450.013633265182</v>
          </cell>
          <cell r="F12">
            <v>40901.558087448502</v>
          </cell>
          <cell r="G12">
            <v>38684.651864835083</v>
          </cell>
          <cell r="H12">
            <v>40621.031259129915</v>
          </cell>
          <cell r="I12">
            <v>25692.591294187816</v>
          </cell>
          <cell r="J12">
            <v>23363.578732106169</v>
          </cell>
          <cell r="K12">
            <v>22633.074301294961</v>
          </cell>
          <cell r="L12">
            <v>19504.796961730339</v>
          </cell>
          <cell r="M12">
            <v>19969.392345894837</v>
          </cell>
          <cell r="N12">
            <v>21905.90904664524</v>
          </cell>
          <cell r="O12">
            <v>29298.336741648727</v>
          </cell>
          <cell r="T12">
            <v>9</v>
          </cell>
          <cell r="U12" t="str">
            <v>Residential</v>
          </cell>
          <cell r="W12">
            <v>354511.05755185924</v>
          </cell>
          <cell r="X12">
            <v>48469.724413282704</v>
          </cell>
          <cell r="Y12">
            <v>44225.36079462526</v>
          </cell>
          <cell r="Z12">
            <v>42846.917908268282</v>
          </cell>
          <cell r="AA12">
            <v>27839.224851495448</v>
          </cell>
          <cell r="AB12">
            <v>24066.89258934696</v>
          </cell>
          <cell r="AC12">
            <v>19503.674164962806</v>
          </cell>
          <cell r="AD12">
            <v>19960.041873600618</v>
          </cell>
          <cell r="AE12">
            <v>17283.354757034784</v>
          </cell>
          <cell r="AF12">
            <v>18023.866978283582</v>
          </cell>
          <cell r="AG12">
            <v>19676.744571039442</v>
          </cell>
          <cell r="AH12">
            <v>25377.381439284229</v>
          </cell>
          <cell r="AI12">
            <v>47237.873210635102</v>
          </cell>
        </row>
        <row r="13">
          <cell r="A13">
            <v>10</v>
          </cell>
          <cell r="B13" t="str">
            <v>Commercial</v>
          </cell>
          <cell r="D13">
            <v>4120232.9184925514</v>
          </cell>
          <cell r="E13">
            <v>424071.6652059597</v>
          </cell>
          <cell r="F13">
            <v>383735.14655760059</v>
          </cell>
          <cell r="G13">
            <v>424527.37754406477</v>
          </cell>
          <cell r="H13">
            <v>397619.82763657608</v>
          </cell>
          <cell r="I13">
            <v>369262.35076443671</v>
          </cell>
          <cell r="J13">
            <v>318885.24393806612</v>
          </cell>
          <cell r="K13">
            <v>353163.31677865429</v>
          </cell>
          <cell r="L13">
            <v>364315.88859674754</v>
          </cell>
          <cell r="M13">
            <v>327586.24306164193</v>
          </cell>
          <cell r="N13">
            <v>372590.2337131172</v>
          </cell>
          <cell r="O13">
            <v>384475.62469568616</v>
          </cell>
          <cell r="T13">
            <v>10</v>
          </cell>
          <cell r="U13" t="str">
            <v>Commercial</v>
          </cell>
          <cell r="W13">
            <v>4308163.058720422</v>
          </cell>
          <cell r="X13">
            <v>390999.03398578259</v>
          </cell>
          <cell r="Y13">
            <v>383474.78624987829</v>
          </cell>
          <cell r="Z13">
            <v>393238.17995910032</v>
          </cell>
          <cell r="AA13">
            <v>327620.69334891427</v>
          </cell>
          <cell r="AB13">
            <v>345941.39740967972</v>
          </cell>
          <cell r="AC13">
            <v>323508.76132047916</v>
          </cell>
          <cell r="AD13">
            <v>314537.69987340545</v>
          </cell>
          <cell r="AE13">
            <v>358198.20235660736</v>
          </cell>
          <cell r="AF13">
            <v>347100.54046158341</v>
          </cell>
          <cell r="AG13">
            <v>370535.7892686727</v>
          </cell>
          <cell r="AH13">
            <v>346066.17294770683</v>
          </cell>
          <cell r="AI13">
            <v>406941.80153861135</v>
          </cell>
        </row>
        <row r="14">
          <cell r="A14">
            <v>11</v>
          </cell>
          <cell r="B14" t="str">
            <v xml:space="preserve">Industrial </v>
          </cell>
          <cell r="D14">
            <v>25696668.229623135</v>
          </cell>
          <cell r="E14">
            <v>2538310.2580582337</v>
          </cell>
          <cell r="F14">
            <v>2203009.9600740098</v>
          </cell>
          <cell r="G14">
            <v>2520286.8390300907</v>
          </cell>
          <cell r="H14">
            <v>2326200.8316291752</v>
          </cell>
          <cell r="I14">
            <v>2440911.8872334212</v>
          </cell>
          <cell r="J14">
            <v>2214848.6902327398</v>
          </cell>
          <cell r="K14">
            <v>2462839.077806992</v>
          </cell>
          <cell r="L14">
            <v>2315661.0176258646</v>
          </cell>
          <cell r="M14">
            <v>2096866.7611257185</v>
          </cell>
          <cell r="N14">
            <v>2355671.2055701627</v>
          </cell>
          <cell r="O14">
            <v>2222061.7012367323</v>
          </cell>
          <cell r="T14">
            <v>11</v>
          </cell>
          <cell r="U14" t="str">
            <v xml:space="preserve">Industrial </v>
          </cell>
          <cell r="W14">
            <v>26840112.118025128</v>
          </cell>
          <cell r="X14">
            <v>2684633.4131853152</v>
          </cell>
          <cell r="Y14">
            <v>2218233.5475703576</v>
          </cell>
          <cell r="Z14">
            <v>2609445.0696270335</v>
          </cell>
          <cell r="AA14">
            <v>2506942.1501606782</v>
          </cell>
          <cell r="AB14">
            <v>2391143.1707079564</v>
          </cell>
          <cell r="AC14">
            <v>2212787.5839906516</v>
          </cell>
          <cell r="AD14">
            <v>2013464.859285227</v>
          </cell>
          <cell r="AE14">
            <v>2051031.803486221</v>
          </cell>
          <cell r="AF14">
            <v>1777732.9087545041</v>
          </cell>
          <cell r="AG14">
            <v>2214680.8598695109</v>
          </cell>
          <cell r="AH14">
            <v>2005467.3084039344</v>
          </cell>
          <cell r="AI14">
            <v>2154549.4429837377</v>
          </cell>
        </row>
        <row r="15">
          <cell r="A15">
            <v>12</v>
          </cell>
          <cell r="B15" t="str">
            <v>Other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T15">
            <v>12</v>
          </cell>
          <cell r="U15" t="str">
            <v xml:space="preserve">Interruptible 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13</v>
          </cell>
          <cell r="B16" t="str">
            <v>Total Volume</v>
          </cell>
          <cell r="D16">
            <v>30155926.082383871</v>
          </cell>
          <cell r="E16">
            <v>3018831.9368974585</v>
          </cell>
          <cell r="F16">
            <v>2627646.6647190591</v>
          </cell>
          <cell r="G16">
            <v>2983498.8684389908</v>
          </cell>
          <cell r="H16">
            <v>2764441.6905248812</v>
          </cell>
          <cell r="I16">
            <v>2835866.8292920459</v>
          </cell>
          <cell r="J16">
            <v>2557097.5129029122</v>
          </cell>
          <cell r="K16">
            <v>2838635.4688869412</v>
          </cell>
          <cell r="L16">
            <v>2699481.7031843425</v>
          </cell>
          <cell r="M16">
            <v>2444422.3965332555</v>
          </cell>
          <cell r="N16">
            <v>2750167.348329925</v>
          </cell>
          <cell r="O16">
            <v>2635835.6626740671</v>
          </cell>
          <cell r="P16">
            <v>0</v>
          </cell>
          <cell r="T16">
            <v>13</v>
          </cell>
          <cell r="U16" t="str">
            <v>Total Deliveries</v>
          </cell>
          <cell r="W16">
            <v>31502786.23429741</v>
          </cell>
          <cell r="X16">
            <v>3124102.1715843803</v>
          </cell>
          <cell r="Y16">
            <v>2645933.6946148612</v>
          </cell>
          <cell r="Z16">
            <v>3045530.1674944023</v>
          </cell>
          <cell r="AA16">
            <v>2862402.0683610877</v>
          </cell>
          <cell r="AB16">
            <v>2761151.4607069832</v>
          </cell>
          <cell r="AC16">
            <v>2555800.0194760934</v>
          </cell>
          <cell r="AD16">
            <v>2347962.6010322329</v>
          </cell>
          <cell r="AE16">
            <v>2426513.3605998633</v>
          </cell>
          <cell r="AF16">
            <v>2142857.3161943709</v>
          </cell>
          <cell r="AG16">
            <v>2604893.3937092228</v>
          </cell>
          <cell r="AH16">
            <v>2376910.8627909254</v>
          </cell>
          <cell r="AI16">
            <v>2608729.117732984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Florida Conversion factor</v>
          </cell>
          <cell r="E18">
            <v>1.0268999999999999</v>
          </cell>
          <cell r="F18">
            <v>1.0268999999999999</v>
          </cell>
          <cell r="G18">
            <v>1.0268999999999999</v>
          </cell>
          <cell r="H18">
            <v>1.0268999999999999</v>
          </cell>
          <cell r="I18">
            <v>1.0268999999999999</v>
          </cell>
          <cell r="J18">
            <v>1.0268999999999999</v>
          </cell>
          <cell r="K18">
            <v>1.0268999999999999</v>
          </cell>
          <cell r="L18">
            <v>1.0268999999999999</v>
          </cell>
          <cell r="M18">
            <v>1.0268999999999999</v>
          </cell>
          <cell r="N18">
            <v>1.0268999999999999</v>
          </cell>
          <cell r="O18">
            <v>1.0268999999999999</v>
          </cell>
          <cell r="P18">
            <v>1.0268999999999999</v>
          </cell>
          <cell r="T18">
            <v>15</v>
          </cell>
          <cell r="X18">
            <v>1.0268999999999999</v>
          </cell>
          <cell r="Y18">
            <v>1.0268999999999999</v>
          </cell>
          <cell r="Z18">
            <v>1.0268999999999999</v>
          </cell>
          <cell r="AA18">
            <v>1.0268999999999999</v>
          </cell>
          <cell r="AB18">
            <v>1.0268999999999999</v>
          </cell>
          <cell r="AC18">
            <v>1.0268999999999999</v>
          </cell>
          <cell r="AD18">
            <v>1.0268999999999999</v>
          </cell>
          <cell r="AE18">
            <v>1.0268999999999999</v>
          </cell>
          <cell r="AF18">
            <v>1.0268999999999999</v>
          </cell>
          <cell r="AG18">
            <v>1.0268999999999999</v>
          </cell>
          <cell r="AH18">
            <v>1.0268999999999999</v>
          </cell>
          <cell r="AI18">
            <v>1.0268999999999999</v>
          </cell>
        </row>
        <row r="19">
          <cell r="A19">
            <v>16</v>
          </cell>
          <cell r="T19">
            <v>16</v>
          </cell>
        </row>
        <row r="20">
          <cell r="A20">
            <v>17</v>
          </cell>
          <cell r="B20" t="str">
            <v xml:space="preserve">Volume - 2021 in (Dts) </v>
          </cell>
          <cell r="D20" t="str">
            <v>Total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Volume - 2020 - Dts</v>
          </cell>
          <cell r="W20" t="str">
            <v>Total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D21">
            <v>348145</v>
          </cell>
          <cell r="E21">
            <v>57969</v>
          </cell>
          <cell r="F21">
            <v>42002</v>
          </cell>
          <cell r="G21">
            <v>39725</v>
          </cell>
          <cell r="H21">
            <v>41714</v>
          </cell>
          <cell r="I21">
            <v>26384</v>
          </cell>
          <cell r="J21">
            <v>23992</v>
          </cell>
          <cell r="K21">
            <v>23242</v>
          </cell>
          <cell r="L21">
            <v>20029</v>
          </cell>
          <cell r="M21">
            <v>20507</v>
          </cell>
          <cell r="N21">
            <v>22495</v>
          </cell>
          <cell r="O21">
            <v>30086</v>
          </cell>
          <cell r="P21">
            <v>0</v>
          </cell>
          <cell r="T21">
            <v>18</v>
          </cell>
          <cell r="U21" t="str">
            <v>Residential</v>
          </cell>
          <cell r="W21">
            <v>364048</v>
          </cell>
          <cell r="X21">
            <v>49774</v>
          </cell>
          <cell r="Y21">
            <v>45415</v>
          </cell>
          <cell r="Z21">
            <v>44000</v>
          </cell>
          <cell r="AA21">
            <v>28588</v>
          </cell>
          <cell r="AB21">
            <v>24714</v>
          </cell>
          <cell r="AC21">
            <v>20028</v>
          </cell>
          <cell r="AD21">
            <v>20497</v>
          </cell>
          <cell r="AE21">
            <v>17748</v>
          </cell>
          <cell r="AF21">
            <v>18509</v>
          </cell>
          <cell r="AG21">
            <v>20206</v>
          </cell>
          <cell r="AH21">
            <v>26060</v>
          </cell>
          <cell r="AI21">
            <v>48509</v>
          </cell>
        </row>
        <row r="22">
          <cell r="A22">
            <v>19</v>
          </cell>
          <cell r="B22" t="str">
            <v>Commercial</v>
          </cell>
          <cell r="D22">
            <v>4231067</v>
          </cell>
          <cell r="E22">
            <v>435479</v>
          </cell>
          <cell r="F22">
            <v>394058</v>
          </cell>
          <cell r="G22">
            <v>435947</v>
          </cell>
          <cell r="H22">
            <v>408316</v>
          </cell>
          <cell r="I22">
            <v>379196</v>
          </cell>
          <cell r="J22">
            <v>327463</v>
          </cell>
          <cell r="K22">
            <v>362663</v>
          </cell>
          <cell r="L22">
            <v>374116</v>
          </cell>
          <cell r="M22">
            <v>336398</v>
          </cell>
          <cell r="N22">
            <v>382613</v>
          </cell>
          <cell r="O22">
            <v>394818</v>
          </cell>
          <cell r="P22">
            <v>0</v>
          </cell>
          <cell r="T22">
            <v>19</v>
          </cell>
          <cell r="U22" t="str">
            <v>Commercial</v>
          </cell>
          <cell r="W22">
            <v>4424053</v>
          </cell>
          <cell r="X22">
            <v>401517</v>
          </cell>
          <cell r="Y22">
            <v>393790</v>
          </cell>
          <cell r="Z22">
            <v>403816</v>
          </cell>
          <cell r="AA22">
            <v>336434</v>
          </cell>
          <cell r="AB22">
            <v>355247</v>
          </cell>
          <cell r="AC22">
            <v>332211</v>
          </cell>
          <cell r="AD22">
            <v>322999</v>
          </cell>
          <cell r="AE22">
            <v>367834</v>
          </cell>
          <cell r="AF22">
            <v>356438</v>
          </cell>
          <cell r="AG22">
            <v>380503</v>
          </cell>
          <cell r="AH22">
            <v>355375</v>
          </cell>
          <cell r="AI22">
            <v>417889</v>
          </cell>
        </row>
        <row r="23">
          <cell r="A23">
            <v>20</v>
          </cell>
          <cell r="B23" t="str">
            <v xml:space="preserve">Industrial </v>
          </cell>
          <cell r="D23">
            <v>26387908</v>
          </cell>
          <cell r="E23">
            <v>2606591</v>
          </cell>
          <cell r="F23">
            <v>2262271</v>
          </cell>
          <cell r="G23">
            <v>2588083</v>
          </cell>
          <cell r="H23">
            <v>2388776</v>
          </cell>
          <cell r="I23">
            <v>2506572</v>
          </cell>
          <cell r="J23">
            <v>2274428</v>
          </cell>
          <cell r="K23">
            <v>2529089</v>
          </cell>
          <cell r="L23">
            <v>2377952</v>
          </cell>
          <cell r="M23">
            <v>2153272</v>
          </cell>
          <cell r="N23">
            <v>2419039</v>
          </cell>
          <cell r="O23">
            <v>2281835</v>
          </cell>
          <cell r="P23">
            <v>0</v>
          </cell>
          <cell r="T23">
            <v>20</v>
          </cell>
          <cell r="U23" t="str">
            <v xml:space="preserve">Industrial </v>
          </cell>
          <cell r="W23">
            <v>27562112</v>
          </cell>
          <cell r="X23">
            <v>2756850</v>
          </cell>
          <cell r="Y23">
            <v>2277904</v>
          </cell>
          <cell r="Z23">
            <v>2679639</v>
          </cell>
          <cell r="AA23">
            <v>2574379</v>
          </cell>
          <cell r="AB23">
            <v>2455465</v>
          </cell>
          <cell r="AC23">
            <v>2272312</v>
          </cell>
          <cell r="AD23">
            <v>2067627</v>
          </cell>
          <cell r="AE23">
            <v>2106205</v>
          </cell>
          <cell r="AF23">
            <v>1825554</v>
          </cell>
          <cell r="AG23">
            <v>2274256</v>
          </cell>
          <cell r="AH23">
            <v>2059414</v>
          </cell>
          <cell r="AI23">
            <v>2212507</v>
          </cell>
        </row>
        <row r="24">
          <cell r="A24">
            <v>21</v>
          </cell>
          <cell r="B24" t="str">
            <v>Other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21</v>
          </cell>
          <cell r="U24" t="str">
            <v xml:space="preserve">Interruptible 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A25">
            <v>22</v>
          </cell>
          <cell r="B25" t="str">
            <v>Total Volume</v>
          </cell>
          <cell r="D25">
            <v>30967120</v>
          </cell>
          <cell r="E25">
            <v>3100039</v>
          </cell>
          <cell r="F25">
            <v>2698331</v>
          </cell>
          <cell r="G25">
            <v>3063755</v>
          </cell>
          <cell r="H25">
            <v>2838806</v>
          </cell>
          <cell r="I25">
            <v>2912152</v>
          </cell>
          <cell r="J25">
            <v>2625883</v>
          </cell>
          <cell r="K25">
            <v>2914994</v>
          </cell>
          <cell r="L25">
            <v>2772097</v>
          </cell>
          <cell r="M25">
            <v>2510177</v>
          </cell>
          <cell r="N25">
            <v>2824147</v>
          </cell>
          <cell r="O25">
            <v>2706739</v>
          </cell>
          <cell r="P25">
            <v>0</v>
          </cell>
          <cell r="T25">
            <v>22</v>
          </cell>
          <cell r="U25" t="str">
            <v>Total Deliveries</v>
          </cell>
          <cell r="W25">
            <v>32350213</v>
          </cell>
          <cell r="X25">
            <v>3208141</v>
          </cell>
          <cell r="Y25">
            <v>2717109</v>
          </cell>
          <cell r="Z25">
            <v>3127455</v>
          </cell>
          <cell r="AA25">
            <v>2939401</v>
          </cell>
          <cell r="AB25">
            <v>2835426</v>
          </cell>
          <cell r="AC25">
            <v>2624551</v>
          </cell>
          <cell r="AD25">
            <v>2411123</v>
          </cell>
          <cell r="AE25">
            <v>2491787</v>
          </cell>
          <cell r="AF25">
            <v>2200501</v>
          </cell>
          <cell r="AG25">
            <v>2674965</v>
          </cell>
          <cell r="AH25">
            <v>2440849</v>
          </cell>
          <cell r="AI25">
            <v>2678905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E28">
            <v>19978</v>
          </cell>
          <cell r="F28">
            <v>20075</v>
          </cell>
          <cell r="G28">
            <v>20180</v>
          </cell>
          <cell r="H28">
            <v>20329</v>
          </cell>
          <cell r="I28">
            <v>20297</v>
          </cell>
          <cell r="J28">
            <v>20325</v>
          </cell>
          <cell r="K28">
            <v>20387</v>
          </cell>
          <cell r="L28">
            <v>20456</v>
          </cell>
          <cell r="M28">
            <v>20512</v>
          </cell>
          <cell r="N28">
            <v>20551</v>
          </cell>
          <cell r="O28">
            <v>20712</v>
          </cell>
          <cell r="P28">
            <v>20850</v>
          </cell>
          <cell r="T28">
            <v>25</v>
          </cell>
        </row>
        <row r="29">
          <cell r="A29">
            <v>26</v>
          </cell>
          <cell r="B29" t="str">
            <v>Budget Volume (Mcfs)</v>
          </cell>
          <cell r="E29">
            <v>3152192.6247501331</v>
          </cell>
          <cell r="F29">
            <v>2870123.4106276757</v>
          </cell>
          <cell r="G29">
            <v>2947516.870099742</v>
          </cell>
          <cell r="H29">
            <v>2747878.0219248319</v>
          </cell>
          <cell r="I29">
            <v>2951159.4561117003</v>
          </cell>
          <cell r="J29">
            <v>2655528.4261582368</v>
          </cell>
          <cell r="K29">
            <v>2667663.7496369788</v>
          </cell>
          <cell r="L29">
            <v>2838709.67731902</v>
          </cell>
          <cell r="M29">
            <v>2571619.4459003289</v>
          </cell>
          <cell r="N29">
            <v>2582481.4265982104</v>
          </cell>
          <cell r="O29">
            <v>2647289.2855010252</v>
          </cell>
          <cell r="P29">
            <v>3021509.3808081402</v>
          </cell>
          <cell r="T29">
            <v>26</v>
          </cell>
        </row>
        <row r="30">
          <cell r="A30">
            <v>27</v>
          </cell>
          <cell r="B30" t="str">
            <v>Budget Volume (Dts) * 1.0269</v>
          </cell>
          <cell r="E30">
            <v>3236987</v>
          </cell>
          <cell r="F30">
            <v>2947330</v>
          </cell>
          <cell r="G30">
            <v>3026805</v>
          </cell>
          <cell r="H30">
            <v>2821796</v>
          </cell>
          <cell r="I30">
            <v>3030546</v>
          </cell>
          <cell r="J30">
            <v>2726962</v>
          </cell>
          <cell r="K30">
            <v>2739424</v>
          </cell>
          <cell r="L30">
            <v>2915071</v>
          </cell>
          <cell r="M30">
            <v>2640796</v>
          </cell>
          <cell r="N30">
            <v>2651950</v>
          </cell>
          <cell r="O30">
            <v>2718501</v>
          </cell>
          <cell r="P30">
            <v>3102788</v>
          </cell>
          <cell r="T30">
            <v>27</v>
          </cell>
        </row>
        <row r="31">
          <cell r="A31">
            <v>28</v>
          </cell>
          <cell r="T31">
            <v>28</v>
          </cell>
        </row>
        <row r="32">
          <cell r="A32">
            <v>29</v>
          </cell>
          <cell r="B32" t="str">
            <v>YTD/CUMULATIVE SECTION</v>
          </cell>
          <cell r="T32">
            <v>29</v>
          </cell>
        </row>
        <row r="33">
          <cell r="A33">
            <v>30</v>
          </cell>
          <cell r="B33" t="str">
            <v>YTD - Average customers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T33">
            <v>30</v>
          </cell>
          <cell r="U33" t="str">
            <v>YTD - Average customers</v>
          </cell>
          <cell r="X33">
            <v>1</v>
          </cell>
          <cell r="Y33">
            <v>2</v>
          </cell>
          <cell r="Z33">
            <v>3</v>
          </cell>
          <cell r="AA33">
            <v>4</v>
          </cell>
          <cell r="AB33">
            <v>5</v>
          </cell>
          <cell r="AC33">
            <v>6</v>
          </cell>
          <cell r="AD33">
            <v>7</v>
          </cell>
          <cell r="AE33">
            <v>8</v>
          </cell>
          <cell r="AF33">
            <v>9</v>
          </cell>
          <cell r="AG33">
            <v>10</v>
          </cell>
          <cell r="AH33">
            <v>11</v>
          </cell>
          <cell r="AI33">
            <v>12</v>
          </cell>
        </row>
        <row r="34">
          <cell r="A34">
            <v>31</v>
          </cell>
          <cell r="B34" t="str">
            <v>Residential</v>
          </cell>
          <cell r="E34">
            <v>18531</v>
          </cell>
          <cell r="F34">
            <v>18536</v>
          </cell>
          <cell r="G34">
            <v>18558</v>
          </cell>
          <cell r="H34">
            <v>18589</v>
          </cell>
          <cell r="I34">
            <v>18617</v>
          </cell>
          <cell r="J34">
            <v>18621</v>
          </cell>
          <cell r="K34">
            <v>18624</v>
          </cell>
          <cell r="L34">
            <v>18622</v>
          </cell>
          <cell r="M34">
            <v>18623</v>
          </cell>
          <cell r="N34">
            <v>18618</v>
          </cell>
          <cell r="O34">
            <v>18618</v>
          </cell>
          <cell r="P34">
            <v>18618</v>
          </cell>
          <cell r="T34">
            <v>31</v>
          </cell>
          <cell r="U34" t="str">
            <v>Residential</v>
          </cell>
          <cell r="X34">
            <v>17606</v>
          </cell>
          <cell r="Y34">
            <v>17631</v>
          </cell>
          <cell r="Z34">
            <v>17661</v>
          </cell>
          <cell r="AA34">
            <v>17679</v>
          </cell>
          <cell r="AB34">
            <v>17696</v>
          </cell>
          <cell r="AC34">
            <v>17712</v>
          </cell>
          <cell r="AD34">
            <v>17733</v>
          </cell>
          <cell r="AE34">
            <v>17755</v>
          </cell>
          <cell r="AF34">
            <v>17784</v>
          </cell>
          <cell r="AG34">
            <v>17818</v>
          </cell>
          <cell r="AH34">
            <v>17868</v>
          </cell>
          <cell r="AI34">
            <v>17920</v>
          </cell>
        </row>
        <row r="35">
          <cell r="A35">
            <v>32</v>
          </cell>
          <cell r="B35" t="str">
            <v>Commercial</v>
          </cell>
          <cell r="E35">
            <v>1600</v>
          </cell>
          <cell r="F35">
            <v>1600</v>
          </cell>
          <cell r="G35">
            <v>1600</v>
          </cell>
          <cell r="H35">
            <v>1602</v>
          </cell>
          <cell r="I35">
            <v>1603</v>
          </cell>
          <cell r="J35">
            <v>1604</v>
          </cell>
          <cell r="K35">
            <v>1603</v>
          </cell>
          <cell r="L35">
            <v>1604</v>
          </cell>
          <cell r="M35">
            <v>1605</v>
          </cell>
          <cell r="N35">
            <v>1605</v>
          </cell>
          <cell r="O35">
            <v>1606</v>
          </cell>
          <cell r="P35">
            <v>1606</v>
          </cell>
          <cell r="T35">
            <v>32</v>
          </cell>
          <cell r="U35" t="str">
            <v>Commercial</v>
          </cell>
          <cell r="X35">
            <v>1580</v>
          </cell>
          <cell r="Y35">
            <v>1580</v>
          </cell>
          <cell r="Z35">
            <v>1581</v>
          </cell>
          <cell r="AA35">
            <v>1582</v>
          </cell>
          <cell r="AB35">
            <v>1583</v>
          </cell>
          <cell r="AC35">
            <v>1582</v>
          </cell>
          <cell r="AD35">
            <v>1581</v>
          </cell>
          <cell r="AE35">
            <v>1582</v>
          </cell>
          <cell r="AF35">
            <v>1582</v>
          </cell>
          <cell r="AG35">
            <v>1583</v>
          </cell>
          <cell r="AH35">
            <v>1584</v>
          </cell>
          <cell r="AI35">
            <v>1584</v>
          </cell>
        </row>
        <row r="36">
          <cell r="A36">
            <v>33</v>
          </cell>
          <cell r="B36" t="str">
            <v xml:space="preserve">Industrial </v>
          </cell>
          <cell r="E36">
            <v>16</v>
          </cell>
          <cell r="F36">
            <v>16</v>
          </cell>
          <cell r="G36">
            <v>16</v>
          </cell>
          <cell r="H36">
            <v>16</v>
          </cell>
          <cell r="I36">
            <v>16</v>
          </cell>
          <cell r="J36">
            <v>16</v>
          </cell>
          <cell r="K36">
            <v>16</v>
          </cell>
          <cell r="L36">
            <v>16</v>
          </cell>
          <cell r="M36">
            <v>16</v>
          </cell>
          <cell r="N36">
            <v>16</v>
          </cell>
          <cell r="O36">
            <v>16</v>
          </cell>
          <cell r="P36">
            <v>16</v>
          </cell>
          <cell r="T36">
            <v>33</v>
          </cell>
          <cell r="U36" t="str">
            <v xml:space="preserve">Industrial </v>
          </cell>
          <cell r="X36">
            <v>16</v>
          </cell>
          <cell r="Y36">
            <v>16</v>
          </cell>
          <cell r="Z36">
            <v>16</v>
          </cell>
          <cell r="AA36">
            <v>16</v>
          </cell>
          <cell r="AB36">
            <v>16</v>
          </cell>
          <cell r="AC36">
            <v>16</v>
          </cell>
          <cell r="AD36">
            <v>16</v>
          </cell>
          <cell r="AE36">
            <v>16</v>
          </cell>
          <cell r="AF36">
            <v>16</v>
          </cell>
          <cell r="AG36">
            <v>16</v>
          </cell>
          <cell r="AH36">
            <v>16</v>
          </cell>
          <cell r="AI36">
            <v>16</v>
          </cell>
        </row>
        <row r="37">
          <cell r="A37">
            <v>34</v>
          </cell>
          <cell r="B37" t="str">
            <v>Other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34</v>
          </cell>
          <cell r="U37" t="str">
            <v>Other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>
            <v>35</v>
          </cell>
          <cell r="B38" t="str">
            <v>Total average customers</v>
          </cell>
          <cell r="C38">
            <v>0</v>
          </cell>
          <cell r="D38">
            <v>0</v>
          </cell>
          <cell r="E38">
            <v>20147</v>
          </cell>
          <cell r="F38">
            <v>20152</v>
          </cell>
          <cell r="G38">
            <v>20174</v>
          </cell>
          <cell r="H38">
            <v>20207</v>
          </cell>
          <cell r="I38">
            <v>20236</v>
          </cell>
          <cell r="J38">
            <v>20241</v>
          </cell>
          <cell r="K38">
            <v>20243</v>
          </cell>
          <cell r="L38">
            <v>20242</v>
          </cell>
          <cell r="M38">
            <v>20244</v>
          </cell>
          <cell r="N38">
            <v>20239</v>
          </cell>
          <cell r="O38">
            <v>20240</v>
          </cell>
          <cell r="P38">
            <v>20240</v>
          </cell>
          <cell r="T38">
            <v>35</v>
          </cell>
          <cell r="U38" t="str">
            <v>Total average customers</v>
          </cell>
          <cell r="V38">
            <v>0</v>
          </cell>
          <cell r="W38">
            <v>0</v>
          </cell>
          <cell r="X38">
            <v>19202</v>
          </cell>
          <cell r="Y38">
            <v>19227</v>
          </cell>
          <cell r="Z38">
            <v>19258</v>
          </cell>
          <cell r="AA38">
            <v>19277</v>
          </cell>
          <cell r="AB38">
            <v>19295</v>
          </cell>
          <cell r="AC38">
            <v>19310</v>
          </cell>
          <cell r="AD38">
            <v>19330</v>
          </cell>
          <cell r="AE38">
            <v>19353</v>
          </cell>
          <cell r="AF38">
            <v>19382</v>
          </cell>
          <cell r="AG38">
            <v>19417</v>
          </cell>
          <cell r="AH38">
            <v>19468</v>
          </cell>
          <cell r="AI38">
            <v>19520</v>
          </cell>
        </row>
        <row r="39">
          <cell r="A39">
            <v>36</v>
          </cell>
          <cell r="T39">
            <v>36</v>
          </cell>
        </row>
        <row r="40">
          <cell r="A40">
            <v>37</v>
          </cell>
          <cell r="B40" t="str">
            <v>Cumulative Volume - YTD (Mcfs)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U40" t="str">
            <v>Cumulative Volume - YTD (Mcfs)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Residential</v>
          </cell>
          <cell r="E41">
            <v>56450.013633265182</v>
          </cell>
          <cell r="F41">
            <v>97351.571720713691</v>
          </cell>
          <cell r="G41">
            <v>136036.22358554878</v>
          </cell>
          <cell r="H41">
            <v>176657.25484467868</v>
          </cell>
          <cell r="I41">
            <v>202349.8461388665</v>
          </cell>
          <cell r="J41">
            <v>225713.42487097267</v>
          </cell>
          <cell r="K41">
            <v>248346.49917226762</v>
          </cell>
          <cell r="L41">
            <v>267851.29613399797</v>
          </cell>
          <cell r="M41">
            <v>287820.68847989279</v>
          </cell>
          <cell r="N41">
            <v>309726.59752653801</v>
          </cell>
          <cell r="O41">
            <v>339024.93426818674</v>
          </cell>
          <cell r="P41">
            <v>339024.93426818674</v>
          </cell>
          <cell r="T41">
            <v>38</v>
          </cell>
          <cell r="U41" t="str">
            <v>Residential</v>
          </cell>
          <cell r="X41">
            <v>48469.724413282704</v>
          </cell>
          <cell r="Y41">
            <v>92695.085207907963</v>
          </cell>
          <cell r="Z41">
            <v>135542.00311617623</v>
          </cell>
          <cell r="AA41">
            <v>163381.22796767167</v>
          </cell>
          <cell r="AB41">
            <v>187448.12055701864</v>
          </cell>
          <cell r="AC41">
            <v>206951.79472198145</v>
          </cell>
          <cell r="AD41">
            <v>226911.83659558208</v>
          </cell>
          <cell r="AE41">
            <v>244195.19135261685</v>
          </cell>
          <cell r="AF41">
            <v>262219.05833090044</v>
          </cell>
          <cell r="AG41">
            <v>281895.8029019399</v>
          </cell>
          <cell r="AH41">
            <v>307273.18434122414</v>
          </cell>
          <cell r="AI41">
            <v>354511.05755185924</v>
          </cell>
        </row>
        <row r="42">
          <cell r="A42">
            <v>39</v>
          </cell>
          <cell r="B42" t="str">
            <v>Commercial</v>
          </cell>
          <cell r="E42">
            <v>424071.6652059597</v>
          </cell>
          <cell r="F42">
            <v>807806.81176356028</v>
          </cell>
          <cell r="G42">
            <v>1232334.1893076249</v>
          </cell>
          <cell r="H42">
            <v>1629954.016944201</v>
          </cell>
          <cell r="I42">
            <v>1999216.3677086376</v>
          </cell>
          <cell r="J42">
            <v>2318101.6116467039</v>
          </cell>
          <cell r="K42">
            <v>2671264.9284253581</v>
          </cell>
          <cell r="L42">
            <v>3035580.8170221057</v>
          </cell>
          <cell r="M42">
            <v>3363167.0600837478</v>
          </cell>
          <cell r="N42">
            <v>3735757.2937968653</v>
          </cell>
          <cell r="O42">
            <v>4120232.9184925514</v>
          </cell>
          <cell r="P42">
            <v>4120232.9184925514</v>
          </cell>
          <cell r="T42">
            <v>39</v>
          </cell>
          <cell r="U42" t="str">
            <v>Commercial</v>
          </cell>
          <cell r="X42">
            <v>390999.03398578259</v>
          </cell>
          <cell r="Y42">
            <v>774473.82023566088</v>
          </cell>
          <cell r="Z42">
            <v>1167712.0001947612</v>
          </cell>
          <cell r="AA42">
            <v>1495332.6935436754</v>
          </cell>
          <cell r="AB42">
            <v>1841274.0909533552</v>
          </cell>
          <cell r="AC42">
            <v>2164782.8522738344</v>
          </cell>
          <cell r="AD42">
            <v>2479320.5521472399</v>
          </cell>
          <cell r="AE42">
            <v>2837518.7545038471</v>
          </cell>
          <cell r="AF42">
            <v>3184619.2949654306</v>
          </cell>
          <cell r="AG42">
            <v>3555155.0842341036</v>
          </cell>
          <cell r="AH42">
            <v>3901221.2571818102</v>
          </cell>
          <cell r="AI42">
            <v>4308163.058720422</v>
          </cell>
        </row>
        <row r="43">
          <cell r="A43">
            <v>40</v>
          </cell>
          <cell r="B43" t="str">
            <v xml:space="preserve">Industrial </v>
          </cell>
          <cell r="E43">
            <v>2538310.2580582337</v>
          </cell>
          <cell r="F43">
            <v>4741320.2181322435</v>
          </cell>
          <cell r="G43">
            <v>7261607.0571623342</v>
          </cell>
          <cell r="H43">
            <v>9587807.888791509</v>
          </cell>
          <cell r="I43">
            <v>12028719.77602493</v>
          </cell>
          <cell r="J43">
            <v>14243568.466257669</v>
          </cell>
          <cell r="K43">
            <v>16706407.544064661</v>
          </cell>
          <cell r="L43">
            <v>19022068.561690524</v>
          </cell>
          <cell r="M43">
            <v>21118935.322816242</v>
          </cell>
          <cell r="N43">
            <v>23474606.528386403</v>
          </cell>
          <cell r="O43">
            <v>25696668.229623135</v>
          </cell>
          <cell r="P43">
            <v>25696668.229623135</v>
          </cell>
          <cell r="T43">
            <v>40</v>
          </cell>
          <cell r="U43" t="str">
            <v xml:space="preserve">Industrial </v>
          </cell>
          <cell r="X43">
            <v>2684633.4131853152</v>
          </cell>
          <cell r="Y43">
            <v>4902866.9607556723</v>
          </cell>
          <cell r="Z43">
            <v>7512312.0303827059</v>
          </cell>
          <cell r="AA43">
            <v>10019254.180543384</v>
          </cell>
          <cell r="AB43">
            <v>12410397.35125134</v>
          </cell>
          <cell r="AC43">
            <v>14623184.935241992</v>
          </cell>
          <cell r="AD43">
            <v>16636649.794527218</v>
          </cell>
          <cell r="AE43">
            <v>18687681.598013438</v>
          </cell>
          <cell r="AF43">
            <v>20465414.506767944</v>
          </cell>
          <cell r="AG43">
            <v>22680095.366637453</v>
          </cell>
          <cell r="AH43">
            <v>24685562.675041389</v>
          </cell>
          <cell r="AI43">
            <v>26840112.118025128</v>
          </cell>
        </row>
        <row r="44">
          <cell r="A44">
            <v>41</v>
          </cell>
          <cell r="B44" t="str">
            <v>Other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41</v>
          </cell>
          <cell r="U44" t="str">
            <v>Other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A45">
            <v>42</v>
          </cell>
          <cell r="B45" t="str">
            <v>Total Volume</v>
          </cell>
          <cell r="E45">
            <v>3018831.9368974585</v>
          </cell>
          <cell r="F45">
            <v>5646478.6016165176</v>
          </cell>
          <cell r="G45">
            <v>8629977.4700555075</v>
          </cell>
          <cell r="H45">
            <v>11394419.160580389</v>
          </cell>
          <cell r="I45">
            <v>14230285.989872433</v>
          </cell>
          <cell r="J45">
            <v>16787383.502775345</v>
          </cell>
          <cell r="K45">
            <v>19626018.971662287</v>
          </cell>
          <cell r="L45">
            <v>22325500.674846627</v>
          </cell>
          <cell r="M45">
            <v>24769923.071379881</v>
          </cell>
          <cell r="N45">
            <v>27520090.419709805</v>
          </cell>
          <cell r="O45">
            <v>30155926.082383871</v>
          </cell>
          <cell r="P45">
            <v>30155926.082383871</v>
          </cell>
          <cell r="T45">
            <v>42</v>
          </cell>
          <cell r="U45" t="str">
            <v>Total Volume</v>
          </cell>
          <cell r="X45">
            <v>3124102.1715843803</v>
          </cell>
          <cell r="Y45">
            <v>5770035.866199241</v>
          </cell>
          <cell r="Z45">
            <v>8815566.0336936433</v>
          </cell>
          <cell r="AA45">
            <v>11677968.10205473</v>
          </cell>
          <cell r="AB45">
            <v>14439119.562761713</v>
          </cell>
          <cell r="AC45">
            <v>16994919.582237806</v>
          </cell>
          <cell r="AD45">
            <v>19342882.183270041</v>
          </cell>
          <cell r="AE45">
            <v>21769395.543869901</v>
          </cell>
          <cell r="AF45">
            <v>23912252.860064276</v>
          </cell>
          <cell r="AG45">
            <v>26517146.253773496</v>
          </cell>
          <cell r="AH45">
            <v>28894057.116564423</v>
          </cell>
          <cell r="AI45">
            <v>31502786.23429741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B47" t="str">
            <v xml:space="preserve">Cumulative Volume - 2021 in (Dts)  </v>
          </cell>
          <cell r="E47">
            <v>1</v>
          </cell>
          <cell r="F47">
            <v>2</v>
          </cell>
          <cell r="G47">
            <v>3</v>
          </cell>
          <cell r="H47">
            <v>4</v>
          </cell>
          <cell r="I47">
            <v>5</v>
          </cell>
          <cell r="J47">
            <v>6</v>
          </cell>
          <cell r="K47">
            <v>7</v>
          </cell>
          <cell r="L47">
            <v>8</v>
          </cell>
          <cell r="M47">
            <v>9</v>
          </cell>
          <cell r="N47">
            <v>10</v>
          </cell>
          <cell r="O47">
            <v>11</v>
          </cell>
          <cell r="P47">
            <v>12</v>
          </cell>
          <cell r="T47">
            <v>44</v>
          </cell>
          <cell r="U47" t="str">
            <v xml:space="preserve">Cumulative Volume - 2020 in (Dts)  </v>
          </cell>
          <cell r="X47">
            <v>1</v>
          </cell>
          <cell r="Y47">
            <v>2</v>
          </cell>
          <cell r="Z47">
            <v>3</v>
          </cell>
          <cell r="AA47">
            <v>4</v>
          </cell>
          <cell r="AB47">
            <v>5</v>
          </cell>
          <cell r="AC47">
            <v>6</v>
          </cell>
          <cell r="AD47">
            <v>7</v>
          </cell>
          <cell r="AE47">
            <v>8</v>
          </cell>
          <cell r="AF47">
            <v>9</v>
          </cell>
          <cell r="AG47">
            <v>10</v>
          </cell>
          <cell r="AH47">
            <v>11</v>
          </cell>
          <cell r="AI47">
            <v>12</v>
          </cell>
        </row>
        <row r="48">
          <cell r="A48">
            <v>45</v>
          </cell>
          <cell r="B48" t="str">
            <v>Residential</v>
          </cell>
          <cell r="E48">
            <v>57969</v>
          </cell>
          <cell r="F48">
            <v>99971</v>
          </cell>
          <cell r="G48">
            <v>139696</v>
          </cell>
          <cell r="H48">
            <v>181410</v>
          </cell>
          <cell r="I48">
            <v>207794</v>
          </cell>
          <cell r="J48">
            <v>231786</v>
          </cell>
          <cell r="K48">
            <v>255028</v>
          </cell>
          <cell r="L48">
            <v>275057</v>
          </cell>
          <cell r="M48">
            <v>295564</v>
          </cell>
          <cell r="N48">
            <v>318059</v>
          </cell>
          <cell r="O48">
            <v>348145</v>
          </cell>
          <cell r="P48">
            <v>348145</v>
          </cell>
          <cell r="T48">
            <v>45</v>
          </cell>
          <cell r="U48" t="str">
            <v>Residential</v>
          </cell>
          <cell r="X48">
            <v>49774</v>
          </cell>
          <cell r="Y48">
            <v>95189</v>
          </cell>
          <cell r="Z48">
            <v>139189</v>
          </cell>
          <cell r="AA48">
            <v>167777</v>
          </cell>
          <cell r="AB48">
            <v>192491</v>
          </cell>
          <cell r="AC48">
            <v>212519</v>
          </cell>
          <cell r="AD48">
            <v>233016</v>
          </cell>
          <cell r="AE48">
            <v>250764</v>
          </cell>
          <cell r="AF48">
            <v>269273</v>
          </cell>
          <cell r="AG48">
            <v>289479</v>
          </cell>
          <cell r="AH48">
            <v>315539</v>
          </cell>
          <cell r="AI48">
            <v>364048</v>
          </cell>
        </row>
        <row r="49">
          <cell r="A49">
            <v>46</v>
          </cell>
          <cell r="B49" t="str">
            <v>Commercial</v>
          </cell>
          <cell r="E49">
            <v>435479</v>
          </cell>
          <cell r="F49">
            <v>829537</v>
          </cell>
          <cell r="G49">
            <v>1265484</v>
          </cell>
          <cell r="H49">
            <v>1673800</v>
          </cell>
          <cell r="I49">
            <v>2052996</v>
          </cell>
          <cell r="J49">
            <v>2380459</v>
          </cell>
          <cell r="K49">
            <v>2743122</v>
          </cell>
          <cell r="L49">
            <v>3117238</v>
          </cell>
          <cell r="M49">
            <v>3453636</v>
          </cell>
          <cell r="N49">
            <v>3836249</v>
          </cell>
          <cell r="O49">
            <v>4231067</v>
          </cell>
          <cell r="P49">
            <v>4231067</v>
          </cell>
          <cell r="T49">
            <v>46</v>
          </cell>
          <cell r="U49" t="str">
            <v>Commercial</v>
          </cell>
          <cell r="X49">
            <v>401517</v>
          </cell>
          <cell r="Y49">
            <v>795307</v>
          </cell>
          <cell r="Z49">
            <v>1199123</v>
          </cell>
          <cell r="AA49">
            <v>1535557</v>
          </cell>
          <cell r="AB49">
            <v>1890804</v>
          </cell>
          <cell r="AC49">
            <v>2223015</v>
          </cell>
          <cell r="AD49">
            <v>2546014</v>
          </cell>
          <cell r="AE49">
            <v>2913848</v>
          </cell>
          <cell r="AF49">
            <v>3270286</v>
          </cell>
          <cell r="AG49">
            <v>3650789</v>
          </cell>
          <cell r="AH49">
            <v>4006164</v>
          </cell>
          <cell r="AI49">
            <v>4424053</v>
          </cell>
        </row>
        <row r="50">
          <cell r="A50">
            <v>47</v>
          </cell>
          <cell r="B50" t="str">
            <v xml:space="preserve">Industrial </v>
          </cell>
          <cell r="E50">
            <v>2606591</v>
          </cell>
          <cell r="F50">
            <v>4868862</v>
          </cell>
          <cell r="G50">
            <v>7456945</v>
          </cell>
          <cell r="H50">
            <v>9845721</v>
          </cell>
          <cell r="I50">
            <v>12352293</v>
          </cell>
          <cell r="J50">
            <v>14626721</v>
          </cell>
          <cell r="K50">
            <v>17155810</v>
          </cell>
          <cell r="L50">
            <v>19533762</v>
          </cell>
          <cell r="M50">
            <v>21687034</v>
          </cell>
          <cell r="N50">
            <v>24106073</v>
          </cell>
          <cell r="O50">
            <v>26387908</v>
          </cell>
          <cell r="P50">
            <v>26387908</v>
          </cell>
          <cell r="T50">
            <v>47</v>
          </cell>
          <cell r="U50" t="str">
            <v xml:space="preserve">Industrial </v>
          </cell>
          <cell r="X50">
            <v>2756850</v>
          </cell>
          <cell r="Y50">
            <v>5034754</v>
          </cell>
          <cell r="Z50">
            <v>7714393</v>
          </cell>
          <cell r="AA50">
            <v>10288772</v>
          </cell>
          <cell r="AB50">
            <v>12744237</v>
          </cell>
          <cell r="AC50">
            <v>15016549</v>
          </cell>
          <cell r="AD50">
            <v>17084176</v>
          </cell>
          <cell r="AE50">
            <v>19190381</v>
          </cell>
          <cell r="AF50">
            <v>21015935</v>
          </cell>
          <cell r="AG50">
            <v>23290191</v>
          </cell>
          <cell r="AH50">
            <v>25349605</v>
          </cell>
          <cell r="AI50">
            <v>27562112</v>
          </cell>
        </row>
        <row r="51">
          <cell r="A51">
            <v>48</v>
          </cell>
          <cell r="B51" t="str">
            <v>Other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48</v>
          </cell>
          <cell r="U51" t="str">
            <v>Other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>
            <v>49</v>
          </cell>
          <cell r="B52" t="str">
            <v>Total Volume</v>
          </cell>
          <cell r="D52">
            <v>0</v>
          </cell>
          <cell r="E52">
            <v>3100039</v>
          </cell>
          <cell r="F52">
            <v>5798370</v>
          </cell>
          <cell r="G52">
            <v>8862125</v>
          </cell>
          <cell r="H52">
            <v>11700931</v>
          </cell>
          <cell r="I52">
            <v>14613083</v>
          </cell>
          <cell r="J52">
            <v>17238966</v>
          </cell>
          <cell r="K52">
            <v>20153960</v>
          </cell>
          <cell r="L52">
            <v>22926057</v>
          </cell>
          <cell r="M52">
            <v>25436234</v>
          </cell>
          <cell r="N52">
            <v>28260381</v>
          </cell>
          <cell r="O52">
            <v>30967120</v>
          </cell>
          <cell r="P52">
            <v>30967120</v>
          </cell>
          <cell r="T52">
            <v>49</v>
          </cell>
          <cell r="U52" t="str">
            <v>Total Volume</v>
          </cell>
          <cell r="W52">
            <v>0</v>
          </cell>
          <cell r="X52">
            <v>3208141</v>
          </cell>
          <cell r="Y52">
            <v>5925250</v>
          </cell>
          <cell r="Z52">
            <v>9052705</v>
          </cell>
          <cell r="AA52">
            <v>11992106</v>
          </cell>
          <cell r="AB52">
            <v>14827532</v>
          </cell>
          <cell r="AC52">
            <v>17452083</v>
          </cell>
          <cell r="AD52">
            <v>19863206</v>
          </cell>
          <cell r="AE52">
            <v>22354993</v>
          </cell>
          <cell r="AF52">
            <v>24555494</v>
          </cell>
          <cell r="AG52">
            <v>27230459</v>
          </cell>
          <cell r="AH52">
            <v>29671308</v>
          </cell>
          <cell r="AI52">
            <v>32350213</v>
          </cell>
        </row>
        <row r="53">
          <cell r="A53">
            <v>50</v>
          </cell>
        </row>
        <row r="54">
          <cell r="A54">
            <v>51</v>
          </cell>
          <cell r="B54" t="str">
            <v>Budget - YTD/cumulative</v>
          </cell>
          <cell r="E54">
            <v>1</v>
          </cell>
          <cell r="F54">
            <v>2</v>
          </cell>
          <cell r="G54">
            <v>3</v>
          </cell>
          <cell r="H54">
            <v>4</v>
          </cell>
          <cell r="I54">
            <v>5</v>
          </cell>
          <cell r="J54">
            <v>6</v>
          </cell>
          <cell r="K54">
            <v>7</v>
          </cell>
          <cell r="L54">
            <v>8</v>
          </cell>
          <cell r="M54">
            <v>9</v>
          </cell>
          <cell r="N54">
            <v>10</v>
          </cell>
          <cell r="O54">
            <v>11</v>
          </cell>
          <cell r="P54">
            <v>12</v>
          </cell>
        </row>
        <row r="55">
          <cell r="A55">
            <v>52</v>
          </cell>
          <cell r="B55" t="str">
            <v>YTD Average budget customers</v>
          </cell>
          <cell r="E55">
            <v>19978</v>
          </cell>
          <cell r="F55">
            <v>20027</v>
          </cell>
          <cell r="G55">
            <v>20078</v>
          </cell>
          <cell r="H55">
            <v>20141</v>
          </cell>
          <cell r="I55">
            <v>20172</v>
          </cell>
          <cell r="J55">
            <v>20197</v>
          </cell>
          <cell r="K55">
            <v>20224</v>
          </cell>
          <cell r="L55">
            <v>20253</v>
          </cell>
          <cell r="M55">
            <v>20282</v>
          </cell>
          <cell r="N55">
            <v>20309</v>
          </cell>
          <cell r="O55">
            <v>20346</v>
          </cell>
          <cell r="P55">
            <v>20388</v>
          </cell>
        </row>
        <row r="56">
          <cell r="A56">
            <v>53</v>
          </cell>
          <cell r="B56" t="str">
            <v>Cumulative Budget YTD Volume (Mcfs)</v>
          </cell>
          <cell r="E56">
            <v>3152192.6247501331</v>
          </cell>
          <cell r="F56">
            <v>6022316.0353778088</v>
          </cell>
          <cell r="G56">
            <v>8969832.9054775499</v>
          </cell>
          <cell r="H56">
            <v>11717710.927402381</v>
          </cell>
          <cell r="I56">
            <v>14668870.38351408</v>
          </cell>
          <cell r="J56">
            <v>17324398.809672318</v>
          </cell>
          <cell r="K56">
            <v>19992062.559309296</v>
          </cell>
          <cell r="L56">
            <v>22830772.236628316</v>
          </cell>
          <cell r="M56">
            <v>25402391.682528645</v>
          </cell>
          <cell r="N56">
            <v>27984873.109126855</v>
          </cell>
          <cell r="O56">
            <v>30632162.39462788</v>
          </cell>
          <cell r="P56">
            <v>33653671.775436021</v>
          </cell>
        </row>
        <row r="57">
          <cell r="A57">
            <v>54</v>
          </cell>
          <cell r="B57" t="str">
            <v>Cumulative YTD Budget Volume (Dts) * 1.0269</v>
          </cell>
          <cell r="E57">
            <v>3236987</v>
          </cell>
          <cell r="F57">
            <v>6184317</v>
          </cell>
          <cell r="G57">
            <v>9211122</v>
          </cell>
          <cell r="H57">
            <v>12032918</v>
          </cell>
          <cell r="I57">
            <v>15063464</v>
          </cell>
          <cell r="J57">
            <v>17790426</v>
          </cell>
          <cell r="K57">
            <v>20529850</v>
          </cell>
          <cell r="L57">
            <v>23444921</v>
          </cell>
          <cell r="M57">
            <v>26085717</v>
          </cell>
          <cell r="N57">
            <v>28737667</v>
          </cell>
          <cell r="O57">
            <v>31456168</v>
          </cell>
          <cell r="P57">
            <v>34558956</v>
          </cell>
        </row>
      </sheetData>
      <sheetData sheetId="15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Residential</v>
          </cell>
          <cell r="C5">
            <v>62882</v>
          </cell>
          <cell r="D5">
            <v>691705</v>
          </cell>
          <cell r="E5">
            <v>61631</v>
          </cell>
          <cell r="F5">
            <v>61854</v>
          </cell>
          <cell r="G5">
            <v>62132</v>
          </cell>
          <cell r="H5">
            <v>62556</v>
          </cell>
          <cell r="I5">
            <v>62624</v>
          </cell>
          <cell r="J5">
            <v>62994</v>
          </cell>
          <cell r="K5">
            <v>63190</v>
          </cell>
          <cell r="L5">
            <v>63304</v>
          </cell>
          <cell r="M5">
            <v>63477</v>
          </cell>
          <cell r="N5">
            <v>63795</v>
          </cell>
          <cell r="O5">
            <v>64148</v>
          </cell>
          <cell r="P5">
            <v>0</v>
          </cell>
          <cell r="T5">
            <v>2</v>
          </cell>
          <cell r="U5" t="str">
            <v>Residential</v>
          </cell>
          <cell r="X5">
            <v>58765</v>
          </cell>
          <cell r="Y5">
            <v>58917</v>
          </cell>
          <cell r="Z5">
            <v>59129</v>
          </cell>
          <cell r="AA5">
            <v>59500</v>
          </cell>
          <cell r="AB5">
            <v>59564</v>
          </cell>
          <cell r="AC5">
            <v>59804</v>
          </cell>
          <cell r="AD5">
            <v>60210</v>
          </cell>
          <cell r="AE5">
            <v>60320</v>
          </cell>
          <cell r="AF5">
            <v>60530</v>
          </cell>
          <cell r="AG5">
            <v>60870</v>
          </cell>
          <cell r="AH5">
            <v>61197</v>
          </cell>
          <cell r="AI5">
            <v>61385</v>
          </cell>
        </row>
        <row r="6">
          <cell r="A6">
            <v>3</v>
          </cell>
          <cell r="B6" t="str">
            <v>Commercial</v>
          </cell>
          <cell r="C6">
            <v>4079</v>
          </cell>
          <cell r="D6">
            <v>44867</v>
          </cell>
          <cell r="E6">
            <v>4109</v>
          </cell>
          <cell r="F6">
            <v>4105</v>
          </cell>
          <cell r="G6">
            <v>4104</v>
          </cell>
          <cell r="H6">
            <v>4098</v>
          </cell>
          <cell r="I6">
            <v>4077</v>
          </cell>
          <cell r="J6">
            <v>4100</v>
          </cell>
          <cell r="K6">
            <v>4091</v>
          </cell>
          <cell r="L6">
            <v>4073</v>
          </cell>
          <cell r="M6">
            <v>4045</v>
          </cell>
          <cell r="N6">
            <v>4030</v>
          </cell>
          <cell r="O6">
            <v>4035</v>
          </cell>
          <cell r="P6">
            <v>0</v>
          </cell>
          <cell r="T6">
            <v>3</v>
          </cell>
          <cell r="U6" t="str">
            <v>Commercial</v>
          </cell>
          <cell r="X6">
            <v>4011</v>
          </cell>
          <cell r="Y6">
            <v>4009</v>
          </cell>
          <cell r="Z6">
            <v>4021</v>
          </cell>
          <cell r="AA6">
            <v>4030</v>
          </cell>
          <cell r="AB6">
            <v>3999</v>
          </cell>
          <cell r="AC6">
            <v>4012</v>
          </cell>
          <cell r="AD6">
            <v>4027</v>
          </cell>
          <cell r="AE6">
            <v>4010</v>
          </cell>
          <cell r="AF6">
            <v>4015</v>
          </cell>
          <cell r="AG6">
            <v>4037</v>
          </cell>
          <cell r="AH6">
            <v>4049</v>
          </cell>
          <cell r="AI6">
            <v>4058</v>
          </cell>
        </row>
        <row r="7">
          <cell r="A7">
            <v>4</v>
          </cell>
          <cell r="B7" t="str">
            <v xml:space="preserve">Industrial </v>
          </cell>
          <cell r="C7">
            <v>2519</v>
          </cell>
          <cell r="D7">
            <v>27705</v>
          </cell>
          <cell r="E7">
            <v>2484</v>
          </cell>
          <cell r="F7">
            <v>2479</v>
          </cell>
          <cell r="G7">
            <v>2492</v>
          </cell>
          <cell r="H7">
            <v>2503</v>
          </cell>
          <cell r="I7">
            <v>2511</v>
          </cell>
          <cell r="J7">
            <v>2500</v>
          </cell>
          <cell r="K7">
            <v>2518</v>
          </cell>
          <cell r="L7">
            <v>2528</v>
          </cell>
          <cell r="M7">
            <v>2546</v>
          </cell>
          <cell r="N7">
            <v>2570</v>
          </cell>
          <cell r="O7">
            <v>2574</v>
          </cell>
          <cell r="P7">
            <v>0</v>
          </cell>
          <cell r="T7">
            <v>4</v>
          </cell>
          <cell r="U7" t="str">
            <v>Industrial firm</v>
          </cell>
          <cell r="X7">
            <v>2469</v>
          </cell>
          <cell r="Y7">
            <v>2478</v>
          </cell>
          <cell r="Z7">
            <v>2475</v>
          </cell>
          <cell r="AA7">
            <v>2489</v>
          </cell>
          <cell r="AB7">
            <v>2493</v>
          </cell>
          <cell r="AC7">
            <v>2499</v>
          </cell>
          <cell r="AD7">
            <v>2498</v>
          </cell>
          <cell r="AE7">
            <v>2493</v>
          </cell>
          <cell r="AF7">
            <v>2490</v>
          </cell>
          <cell r="AG7">
            <v>2502</v>
          </cell>
          <cell r="AH7">
            <v>2494</v>
          </cell>
          <cell r="AI7">
            <v>2494</v>
          </cell>
        </row>
        <row r="8">
          <cell r="A8">
            <v>5</v>
          </cell>
          <cell r="B8" t="str">
            <v>Other</v>
          </cell>
          <cell r="C8">
            <v>6</v>
          </cell>
          <cell r="D8">
            <v>66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6</v>
          </cell>
          <cell r="J8">
            <v>6</v>
          </cell>
          <cell r="K8">
            <v>6</v>
          </cell>
          <cell r="L8">
            <v>6</v>
          </cell>
          <cell r="M8">
            <v>6</v>
          </cell>
          <cell r="N8">
            <v>6</v>
          </cell>
          <cell r="O8">
            <v>6</v>
          </cell>
          <cell r="P8">
            <v>0</v>
          </cell>
          <cell r="T8">
            <v>5</v>
          </cell>
          <cell r="U8" t="str">
            <v>Other</v>
          </cell>
          <cell r="X8">
            <v>5</v>
          </cell>
          <cell r="Y8">
            <v>5</v>
          </cell>
          <cell r="Z8">
            <v>5</v>
          </cell>
          <cell r="AA8">
            <v>5</v>
          </cell>
          <cell r="AB8">
            <v>5</v>
          </cell>
          <cell r="AC8">
            <v>5</v>
          </cell>
          <cell r="AD8">
            <v>5</v>
          </cell>
          <cell r="AE8">
            <v>5</v>
          </cell>
          <cell r="AF8">
            <v>5</v>
          </cell>
          <cell r="AG8">
            <v>5</v>
          </cell>
          <cell r="AH8">
            <v>5</v>
          </cell>
          <cell r="AI8">
            <v>6</v>
          </cell>
        </row>
        <row r="9">
          <cell r="A9">
            <v>6</v>
          </cell>
          <cell r="B9" t="str">
            <v>Total customers</v>
          </cell>
          <cell r="C9">
            <v>69486</v>
          </cell>
          <cell r="D9">
            <v>764343</v>
          </cell>
          <cell r="E9">
            <v>68230</v>
          </cell>
          <cell r="F9">
            <v>68444</v>
          </cell>
          <cell r="G9">
            <v>68734</v>
          </cell>
          <cell r="H9">
            <v>69163</v>
          </cell>
          <cell r="I9">
            <v>69218</v>
          </cell>
          <cell r="J9">
            <v>69600</v>
          </cell>
          <cell r="K9">
            <v>69805</v>
          </cell>
          <cell r="L9">
            <v>69911</v>
          </cell>
          <cell r="M9">
            <v>70074</v>
          </cell>
          <cell r="N9">
            <v>70401</v>
          </cell>
          <cell r="O9">
            <v>70763</v>
          </cell>
          <cell r="P9">
            <v>0</v>
          </cell>
          <cell r="T9">
            <v>6</v>
          </cell>
          <cell r="U9" t="str">
            <v>Total customers</v>
          </cell>
          <cell r="X9">
            <v>65250</v>
          </cell>
          <cell r="Y9">
            <v>65409</v>
          </cell>
          <cell r="Z9">
            <v>65630</v>
          </cell>
          <cell r="AA9">
            <v>66024</v>
          </cell>
          <cell r="AB9">
            <v>66061</v>
          </cell>
          <cell r="AC9">
            <v>66320</v>
          </cell>
          <cell r="AD9">
            <v>66740</v>
          </cell>
          <cell r="AE9">
            <v>66828</v>
          </cell>
          <cell r="AF9">
            <v>67040</v>
          </cell>
          <cell r="AG9">
            <v>67414</v>
          </cell>
          <cell r="AH9">
            <v>67745</v>
          </cell>
          <cell r="AI9">
            <v>67943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- 2021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Residential</v>
          </cell>
          <cell r="C12">
            <v>14534731.850000186</v>
          </cell>
          <cell r="D12">
            <v>1415398.9531600142</v>
          </cell>
          <cell r="E12">
            <v>246112.77436946263</v>
          </cell>
          <cell r="F12">
            <v>189930.38660044645</v>
          </cell>
          <cell r="G12">
            <v>162957.97838153777</v>
          </cell>
          <cell r="H12">
            <v>155600.33985782354</v>
          </cell>
          <cell r="I12">
            <v>118191.77135066803</v>
          </cell>
          <cell r="J12">
            <v>94235.249780896789</v>
          </cell>
          <cell r="K12">
            <v>86900.241503557671</v>
          </cell>
          <cell r="L12">
            <v>74633.701431496025</v>
          </cell>
          <cell r="M12">
            <v>81752.014801834201</v>
          </cell>
          <cell r="N12">
            <v>85122.411140327924</v>
          </cell>
          <cell r="O12">
            <v>119962.08394196286</v>
          </cell>
          <cell r="P12">
            <v>0</v>
          </cell>
          <cell r="T12">
            <v>9</v>
          </cell>
          <cell r="U12" t="str">
            <v>Residential</v>
          </cell>
          <cell r="W12">
            <v>1493149.0690427856</v>
          </cell>
          <cell r="X12">
            <v>187006.33752069631</v>
          </cell>
          <cell r="Y12">
            <v>165882.28551952788</v>
          </cell>
          <cell r="Z12">
            <v>150502.74515532257</v>
          </cell>
          <cell r="AA12">
            <v>138686.94614860538</v>
          </cell>
          <cell r="AB12">
            <v>129360.65731814495</v>
          </cell>
          <cell r="AC12">
            <v>98444.498003705303</v>
          </cell>
          <cell r="AD12">
            <v>84813.589443960169</v>
          </cell>
          <cell r="AE12">
            <v>76174.554484373904</v>
          </cell>
          <cell r="AF12">
            <v>75893.976044407915</v>
          </cell>
          <cell r="AG12">
            <v>82619.856850721</v>
          </cell>
          <cell r="AH12">
            <v>116736.01324374712</v>
          </cell>
          <cell r="AI12">
            <v>187027.60930957308</v>
          </cell>
        </row>
        <row r="13">
          <cell r="A13">
            <v>10</v>
          </cell>
          <cell r="B13" t="str">
            <v>Commercial</v>
          </cell>
          <cell r="C13">
            <v>14761283.34999999</v>
          </cell>
          <cell r="D13">
            <v>1437460.6436848759</v>
          </cell>
          <cell r="E13">
            <v>178511.01373064553</v>
          </cell>
          <cell r="F13">
            <v>158617.5947025026</v>
          </cell>
          <cell r="G13">
            <v>144019.16837082483</v>
          </cell>
          <cell r="H13">
            <v>155206.57415522431</v>
          </cell>
          <cell r="I13">
            <v>129249.23945856452</v>
          </cell>
          <cell r="J13">
            <v>113952.8133216477</v>
          </cell>
          <cell r="K13">
            <v>117130.46450482022</v>
          </cell>
          <cell r="L13">
            <v>102590.84818385424</v>
          </cell>
          <cell r="M13">
            <v>105798.23351835614</v>
          </cell>
          <cell r="N13">
            <v>109506.15736683215</v>
          </cell>
          <cell r="O13">
            <v>122878.53637160368</v>
          </cell>
          <cell r="P13">
            <v>0</v>
          </cell>
          <cell r="T13">
            <v>10</v>
          </cell>
          <cell r="U13" t="str">
            <v>Commercial</v>
          </cell>
          <cell r="W13">
            <v>1458225.1738241306</v>
          </cell>
          <cell r="X13">
            <v>184037.55088129322</v>
          </cell>
          <cell r="Y13">
            <v>171308.71652546508</v>
          </cell>
          <cell r="Z13">
            <v>150625.82432564016</v>
          </cell>
          <cell r="AA13">
            <v>100145.73570941669</v>
          </cell>
          <cell r="AB13">
            <v>95571.088713603996</v>
          </cell>
          <cell r="AC13">
            <v>93496.495277047434</v>
          </cell>
          <cell r="AD13">
            <v>101193.89521861907</v>
          </cell>
          <cell r="AE13">
            <v>99001.995325737735</v>
          </cell>
          <cell r="AF13">
            <v>94384.104586619767</v>
          </cell>
          <cell r="AG13">
            <v>102132.78021228939</v>
          </cell>
          <cell r="AH13">
            <v>120590.14314928421</v>
          </cell>
          <cell r="AI13">
            <v>145736.84389911377</v>
          </cell>
        </row>
        <row r="14">
          <cell r="A14">
            <v>11</v>
          </cell>
          <cell r="B14" t="str">
            <v xml:space="preserve">Industrial </v>
          </cell>
          <cell r="C14">
            <v>45094932.260000013</v>
          </cell>
          <cell r="D14">
            <v>4391365.4942058632</v>
          </cell>
          <cell r="E14">
            <v>448497.35514655767</v>
          </cell>
          <cell r="F14">
            <v>401255.60327198403</v>
          </cell>
          <cell r="G14">
            <v>420244.77845944121</v>
          </cell>
          <cell r="H14">
            <v>409365.26438796381</v>
          </cell>
          <cell r="I14">
            <v>398907.09416691004</v>
          </cell>
          <cell r="J14">
            <v>364016.53812445235</v>
          </cell>
          <cell r="K14">
            <v>384331.40033109393</v>
          </cell>
          <cell r="L14">
            <v>368231.3857240238</v>
          </cell>
          <cell r="M14">
            <v>385286.86727042519</v>
          </cell>
          <cell r="N14">
            <v>396971.30002921401</v>
          </cell>
          <cell r="O14">
            <v>414257.90729379689</v>
          </cell>
          <cell r="P14">
            <v>0</v>
          </cell>
          <cell r="T14">
            <v>11</v>
          </cell>
          <cell r="U14" t="str">
            <v>Industrial firm</v>
          </cell>
          <cell r="W14">
            <v>4531784.5661700256</v>
          </cell>
          <cell r="X14">
            <v>466783.26808842132</v>
          </cell>
          <cell r="Y14">
            <v>434698.76716330659</v>
          </cell>
          <cell r="Z14">
            <v>426169.0583308991</v>
          </cell>
          <cell r="AA14">
            <v>334934.9031064366</v>
          </cell>
          <cell r="AB14">
            <v>326666.28493524203</v>
          </cell>
          <cell r="AC14">
            <v>334280.80923166836</v>
          </cell>
          <cell r="AD14">
            <v>357552.67017236346</v>
          </cell>
          <cell r="AE14">
            <v>345907.6648164377</v>
          </cell>
          <cell r="AF14">
            <v>348323.68292920449</v>
          </cell>
          <cell r="AG14">
            <v>358704.40646606288</v>
          </cell>
          <cell r="AH14">
            <v>379388.4107508033</v>
          </cell>
          <cell r="AI14">
            <v>418374.64017918002</v>
          </cell>
        </row>
        <row r="15">
          <cell r="A15">
            <v>12</v>
          </cell>
          <cell r="B15" t="str">
            <v>Other</v>
          </cell>
          <cell r="C15">
            <v>30265070.479000006</v>
          </cell>
          <cell r="D15">
            <v>2947226.6509884121</v>
          </cell>
          <cell r="E15">
            <v>245462.17109747784</v>
          </cell>
          <cell r="F15">
            <v>260130.29915278993</v>
          </cell>
          <cell r="G15">
            <v>251846.91469471226</v>
          </cell>
          <cell r="H15">
            <v>222409.39526730939</v>
          </cell>
          <cell r="I15">
            <v>255775.44658681465</v>
          </cell>
          <cell r="J15">
            <v>261838.29925017044</v>
          </cell>
          <cell r="K15">
            <v>262875.82997370732</v>
          </cell>
          <cell r="L15">
            <v>277588.8781770377</v>
          </cell>
          <cell r="M15">
            <v>264657.67036712437</v>
          </cell>
          <cell r="N15">
            <v>340686.03505696764</v>
          </cell>
          <cell r="O15">
            <v>303955.71136430034</v>
          </cell>
          <cell r="P15">
            <v>0</v>
          </cell>
          <cell r="T15">
            <v>12</v>
          </cell>
          <cell r="U15" t="str">
            <v>Other</v>
          </cell>
          <cell r="W15">
            <v>2897002.6248904471</v>
          </cell>
          <cell r="X15">
            <v>215456.01538611352</v>
          </cell>
          <cell r="Y15">
            <v>167552.45505891516</v>
          </cell>
          <cell r="Z15">
            <v>190379.93972149189</v>
          </cell>
          <cell r="AA15">
            <v>159480.02843509591</v>
          </cell>
          <cell r="AB15">
            <v>245769.07887817704</v>
          </cell>
          <cell r="AC15">
            <v>250459.42672119968</v>
          </cell>
          <cell r="AD15">
            <v>258839.77855682155</v>
          </cell>
          <cell r="AE15">
            <v>193978.50598889863</v>
          </cell>
          <cell r="AF15">
            <v>266035.14363618661</v>
          </cell>
          <cell r="AG15">
            <v>300841.65157269454</v>
          </cell>
          <cell r="AH15">
            <v>282586.74544746324</v>
          </cell>
          <cell r="AI15">
            <v>365623.8554873892</v>
          </cell>
        </row>
        <row r="16">
          <cell r="A16">
            <v>13</v>
          </cell>
          <cell r="B16" t="str">
            <v>Total Deliveries</v>
          </cell>
          <cell r="D16">
            <v>10191451.742039166</v>
          </cell>
          <cell r="E16">
            <v>1118583.3143441437</v>
          </cell>
          <cell r="F16">
            <v>1009933.883727723</v>
          </cell>
          <cell r="G16">
            <v>979068.83990651602</v>
          </cell>
          <cell r="H16">
            <v>942581.57366832101</v>
          </cell>
          <cell r="I16">
            <v>902123.55156295723</v>
          </cell>
          <cell r="J16">
            <v>834042.90047716734</v>
          </cell>
          <cell r="K16">
            <v>851237.93631317921</v>
          </cell>
          <cell r="L16">
            <v>823044.8135164117</v>
          </cell>
          <cell r="M16">
            <v>837494.78595773992</v>
          </cell>
          <cell r="N16">
            <v>932285.9035933417</v>
          </cell>
          <cell r="O16">
            <v>961054.23897166376</v>
          </cell>
          <cell r="P16">
            <v>0</v>
          </cell>
          <cell r="T16">
            <v>13</v>
          </cell>
          <cell r="U16" t="str">
            <v>Total Deliveries</v>
          </cell>
          <cell r="W16">
            <v>10380161.433927389</v>
          </cell>
          <cell r="X16">
            <v>1053283.1718765243</v>
          </cell>
          <cell r="Y16">
            <v>939442.22426721477</v>
          </cell>
          <cell r="Z16">
            <v>917677.56753335369</v>
          </cell>
          <cell r="AA16">
            <v>733247.61339955451</v>
          </cell>
          <cell r="AB16">
            <v>797367.10984516796</v>
          </cell>
          <cell r="AC16">
            <v>776681.22923362069</v>
          </cell>
          <cell r="AD16">
            <v>802399.93339176418</v>
          </cell>
          <cell r="AE16">
            <v>715062.72061544796</v>
          </cell>
          <cell r="AF16">
            <v>784636.90719641885</v>
          </cell>
          <cell r="AG16">
            <v>844298.69510176778</v>
          </cell>
          <cell r="AH16">
            <v>899301.3125912979</v>
          </cell>
          <cell r="AI16">
            <v>1116762.9488752561</v>
          </cell>
        </row>
        <row r="17">
          <cell r="A17">
            <v>14</v>
          </cell>
          <cell r="T17">
            <v>14</v>
          </cell>
        </row>
        <row r="18">
          <cell r="A18">
            <v>15</v>
          </cell>
          <cell r="B18" t="str">
            <v>DATA INPUT AREA</v>
          </cell>
          <cell r="T18">
            <v>15</v>
          </cell>
        </row>
        <row r="19">
          <cell r="A19">
            <v>16</v>
          </cell>
          <cell r="B19" t="str">
            <v>FPU_NG</v>
          </cell>
          <cell r="T19">
            <v>16</v>
          </cell>
          <cell r="U19" t="str">
            <v>FPU_NG</v>
          </cell>
        </row>
        <row r="20">
          <cell r="A20">
            <v>17</v>
          </cell>
          <cell r="B20" t="str">
            <v>Customers</v>
          </cell>
          <cell r="E20">
            <v>1</v>
          </cell>
          <cell r="F20">
            <v>2</v>
          </cell>
          <cell r="G20">
            <v>3</v>
          </cell>
          <cell r="H20">
            <v>4</v>
          </cell>
          <cell r="I20">
            <v>5</v>
          </cell>
          <cell r="J20">
            <v>6</v>
          </cell>
          <cell r="K20">
            <v>7</v>
          </cell>
          <cell r="L20">
            <v>8</v>
          </cell>
          <cell r="M20">
            <v>9</v>
          </cell>
          <cell r="N20">
            <v>10</v>
          </cell>
          <cell r="O20">
            <v>11</v>
          </cell>
          <cell r="P20">
            <v>12</v>
          </cell>
          <cell r="T20">
            <v>17</v>
          </cell>
          <cell r="U20" t="str">
            <v>Customers</v>
          </cell>
          <cell r="X20">
            <v>1</v>
          </cell>
          <cell r="Y20">
            <v>2</v>
          </cell>
          <cell r="Z20">
            <v>3</v>
          </cell>
          <cell r="AA20">
            <v>4</v>
          </cell>
          <cell r="AB20">
            <v>5</v>
          </cell>
          <cell r="AC20">
            <v>6</v>
          </cell>
          <cell r="AD20">
            <v>7</v>
          </cell>
          <cell r="AE20">
            <v>8</v>
          </cell>
          <cell r="AF20">
            <v>9</v>
          </cell>
          <cell r="AG20">
            <v>10</v>
          </cell>
          <cell r="AH20">
            <v>11</v>
          </cell>
          <cell r="AI20">
            <v>12</v>
          </cell>
        </row>
        <row r="21">
          <cell r="A21">
            <v>18</v>
          </cell>
          <cell r="B21" t="str">
            <v>Residential</v>
          </cell>
          <cell r="C21">
            <v>61654</v>
          </cell>
          <cell r="D21">
            <v>678191</v>
          </cell>
          <cell r="E21">
            <v>60396</v>
          </cell>
          <cell r="F21">
            <v>60611</v>
          </cell>
          <cell r="G21">
            <v>60895</v>
          </cell>
          <cell r="H21">
            <v>61315</v>
          </cell>
          <cell r="I21">
            <v>61400</v>
          </cell>
          <cell r="J21">
            <v>61772</v>
          </cell>
          <cell r="K21">
            <v>61962</v>
          </cell>
          <cell r="L21">
            <v>62082</v>
          </cell>
          <cell r="M21">
            <v>62252</v>
          </cell>
          <cell r="N21">
            <v>62570</v>
          </cell>
          <cell r="O21">
            <v>62936</v>
          </cell>
          <cell r="T21">
            <v>18</v>
          </cell>
          <cell r="U21" t="str">
            <v>Residential</v>
          </cell>
          <cell r="X21">
            <v>57524</v>
          </cell>
          <cell r="Y21">
            <v>57679</v>
          </cell>
          <cell r="Z21">
            <v>57893</v>
          </cell>
          <cell r="AA21">
            <v>58271</v>
          </cell>
          <cell r="AB21">
            <v>58341</v>
          </cell>
          <cell r="AC21">
            <v>58588</v>
          </cell>
          <cell r="AD21">
            <v>58988</v>
          </cell>
          <cell r="AE21">
            <v>59096</v>
          </cell>
          <cell r="AF21">
            <v>59303</v>
          </cell>
          <cell r="AG21">
            <v>59641</v>
          </cell>
          <cell r="AH21">
            <v>59970</v>
          </cell>
          <cell r="AI21">
            <v>60159</v>
          </cell>
        </row>
        <row r="22">
          <cell r="A22">
            <v>19</v>
          </cell>
          <cell r="B22" t="str">
            <v>Commercial Small</v>
          </cell>
          <cell r="C22">
            <v>3335</v>
          </cell>
          <cell r="D22">
            <v>36682</v>
          </cell>
          <cell r="E22">
            <v>3352</v>
          </cell>
          <cell r="F22">
            <v>3345</v>
          </cell>
          <cell r="G22">
            <v>3347</v>
          </cell>
          <cell r="H22">
            <v>3345</v>
          </cell>
          <cell r="I22">
            <v>3341</v>
          </cell>
          <cell r="J22">
            <v>3358</v>
          </cell>
          <cell r="K22">
            <v>3349</v>
          </cell>
          <cell r="L22">
            <v>3339</v>
          </cell>
          <cell r="M22">
            <v>3313</v>
          </cell>
          <cell r="N22">
            <v>3297</v>
          </cell>
          <cell r="O22">
            <v>3296</v>
          </cell>
          <cell r="T22">
            <v>19</v>
          </cell>
          <cell r="U22" t="str">
            <v>Commercial Small</v>
          </cell>
          <cell r="X22">
            <v>3272</v>
          </cell>
          <cell r="Y22">
            <v>3262</v>
          </cell>
          <cell r="Z22">
            <v>3269</v>
          </cell>
          <cell r="AA22">
            <v>3281</v>
          </cell>
          <cell r="AB22">
            <v>3259</v>
          </cell>
          <cell r="AC22">
            <v>3277</v>
          </cell>
          <cell r="AD22">
            <v>3289</v>
          </cell>
          <cell r="AE22">
            <v>3279</v>
          </cell>
          <cell r="AF22">
            <v>3283</v>
          </cell>
          <cell r="AG22">
            <v>3301</v>
          </cell>
          <cell r="AH22">
            <v>3308</v>
          </cell>
          <cell r="AI22">
            <v>3313</v>
          </cell>
        </row>
        <row r="23">
          <cell r="A23">
            <v>20</v>
          </cell>
          <cell r="B23" t="str">
            <v>Commercial Large</v>
          </cell>
          <cell r="C23">
            <v>658</v>
          </cell>
          <cell r="D23">
            <v>7238</v>
          </cell>
          <cell r="E23">
            <v>670</v>
          </cell>
          <cell r="F23">
            <v>673</v>
          </cell>
          <cell r="G23">
            <v>670</v>
          </cell>
          <cell r="H23">
            <v>665</v>
          </cell>
          <cell r="I23">
            <v>649</v>
          </cell>
          <cell r="J23">
            <v>655</v>
          </cell>
          <cell r="K23">
            <v>654</v>
          </cell>
          <cell r="L23">
            <v>650</v>
          </cell>
          <cell r="M23">
            <v>647</v>
          </cell>
          <cell r="N23">
            <v>649</v>
          </cell>
          <cell r="O23">
            <v>656</v>
          </cell>
          <cell r="T23">
            <v>20</v>
          </cell>
          <cell r="U23" t="str">
            <v>Commercial Large</v>
          </cell>
          <cell r="X23">
            <v>649</v>
          </cell>
          <cell r="Y23">
            <v>658</v>
          </cell>
          <cell r="Z23">
            <v>664</v>
          </cell>
          <cell r="AA23">
            <v>661</v>
          </cell>
          <cell r="AB23">
            <v>652</v>
          </cell>
          <cell r="AC23">
            <v>647</v>
          </cell>
          <cell r="AD23">
            <v>650</v>
          </cell>
          <cell r="AE23">
            <v>643</v>
          </cell>
          <cell r="AF23">
            <v>644</v>
          </cell>
          <cell r="AG23">
            <v>647</v>
          </cell>
          <cell r="AH23">
            <v>652</v>
          </cell>
          <cell r="AI23">
            <v>657</v>
          </cell>
        </row>
        <row r="24">
          <cell r="A24">
            <v>21</v>
          </cell>
          <cell r="B24" t="str">
            <v>Outdoor Lights</v>
          </cell>
          <cell r="C24">
            <v>29</v>
          </cell>
          <cell r="D24">
            <v>321</v>
          </cell>
          <cell r="E24">
            <v>31</v>
          </cell>
          <cell r="F24">
            <v>31</v>
          </cell>
          <cell r="G24">
            <v>31</v>
          </cell>
          <cell r="H24">
            <v>31</v>
          </cell>
          <cell r="I24">
            <v>29</v>
          </cell>
          <cell r="J24">
            <v>29</v>
          </cell>
          <cell r="K24">
            <v>29</v>
          </cell>
          <cell r="L24">
            <v>27</v>
          </cell>
          <cell r="M24">
            <v>27</v>
          </cell>
          <cell r="N24">
            <v>27</v>
          </cell>
          <cell r="O24">
            <v>29</v>
          </cell>
          <cell r="T24">
            <v>21</v>
          </cell>
          <cell r="U24" t="str">
            <v>Outdoor Lights</v>
          </cell>
          <cell r="X24">
            <v>34</v>
          </cell>
          <cell r="Y24">
            <v>34</v>
          </cell>
          <cell r="Z24">
            <v>32</v>
          </cell>
          <cell r="AA24">
            <v>32</v>
          </cell>
          <cell r="AB24">
            <v>32</v>
          </cell>
          <cell r="AC24">
            <v>32</v>
          </cell>
          <cell r="AD24">
            <v>32</v>
          </cell>
          <cell r="AE24">
            <v>32</v>
          </cell>
          <cell r="AF24">
            <v>32</v>
          </cell>
          <cell r="AG24">
            <v>33</v>
          </cell>
          <cell r="AH24">
            <v>33</v>
          </cell>
          <cell r="AI24">
            <v>31</v>
          </cell>
        </row>
        <row r="25">
          <cell r="A25">
            <v>22</v>
          </cell>
          <cell r="B25" t="str">
            <v>Interdepartmental/Special Contracts</v>
          </cell>
          <cell r="C25">
            <v>6</v>
          </cell>
          <cell r="D25">
            <v>66</v>
          </cell>
          <cell r="E25">
            <v>6</v>
          </cell>
          <cell r="F25">
            <v>6</v>
          </cell>
          <cell r="G25">
            <v>6</v>
          </cell>
          <cell r="H25">
            <v>6</v>
          </cell>
          <cell r="I25">
            <v>6</v>
          </cell>
          <cell r="J25">
            <v>6</v>
          </cell>
          <cell r="K25">
            <v>6</v>
          </cell>
          <cell r="L25">
            <v>6</v>
          </cell>
          <cell r="M25">
            <v>6</v>
          </cell>
          <cell r="N25">
            <v>6</v>
          </cell>
          <cell r="O25">
            <v>6</v>
          </cell>
          <cell r="T25">
            <v>22</v>
          </cell>
          <cell r="U25" t="str">
            <v>Interdepartmental/Special Contracts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  <cell r="AF25">
            <v>5</v>
          </cell>
          <cell r="AG25">
            <v>5</v>
          </cell>
          <cell r="AH25">
            <v>5</v>
          </cell>
          <cell r="AI25">
            <v>6</v>
          </cell>
        </row>
        <row r="26">
          <cell r="A26">
            <v>23</v>
          </cell>
          <cell r="B26" t="str">
            <v>Commercial Small Transp</v>
          </cell>
          <cell r="C26">
            <v>1218</v>
          </cell>
          <cell r="D26">
            <v>13403</v>
          </cell>
          <cell r="E26">
            <v>1195</v>
          </cell>
          <cell r="F26">
            <v>1197</v>
          </cell>
          <cell r="G26">
            <v>1200</v>
          </cell>
          <cell r="H26">
            <v>1207</v>
          </cell>
          <cell r="I26">
            <v>1210</v>
          </cell>
          <cell r="J26">
            <v>1205</v>
          </cell>
          <cell r="K26">
            <v>1214</v>
          </cell>
          <cell r="L26">
            <v>1222</v>
          </cell>
          <cell r="M26">
            <v>1235</v>
          </cell>
          <cell r="N26">
            <v>1257</v>
          </cell>
          <cell r="O26">
            <v>1261</v>
          </cell>
          <cell r="T26">
            <v>23</v>
          </cell>
          <cell r="U26" t="str">
            <v>Commercial Small Transp</v>
          </cell>
          <cell r="X26">
            <v>1175</v>
          </cell>
          <cell r="Y26">
            <v>1185</v>
          </cell>
          <cell r="Z26">
            <v>1185</v>
          </cell>
          <cell r="AA26">
            <v>1189</v>
          </cell>
          <cell r="AB26">
            <v>1188</v>
          </cell>
          <cell r="AC26">
            <v>1192</v>
          </cell>
          <cell r="AD26">
            <v>1196</v>
          </cell>
          <cell r="AE26">
            <v>1195</v>
          </cell>
          <cell r="AF26">
            <v>1197</v>
          </cell>
          <cell r="AG26">
            <v>1203</v>
          </cell>
          <cell r="AH26">
            <v>1201</v>
          </cell>
          <cell r="AI26">
            <v>1200</v>
          </cell>
        </row>
        <row r="27">
          <cell r="A27">
            <v>24</v>
          </cell>
          <cell r="B27" t="str">
            <v>Commercial Large Transp</v>
          </cell>
          <cell r="C27">
            <v>1272</v>
          </cell>
          <cell r="D27">
            <v>13987</v>
          </cell>
          <cell r="E27">
            <v>1259</v>
          </cell>
          <cell r="F27">
            <v>1254</v>
          </cell>
          <cell r="G27">
            <v>1263</v>
          </cell>
          <cell r="H27">
            <v>1269</v>
          </cell>
          <cell r="I27">
            <v>1273</v>
          </cell>
          <cell r="J27">
            <v>1267</v>
          </cell>
          <cell r="K27">
            <v>1275</v>
          </cell>
          <cell r="L27">
            <v>1277</v>
          </cell>
          <cell r="M27">
            <v>1282</v>
          </cell>
          <cell r="N27">
            <v>1284</v>
          </cell>
          <cell r="O27">
            <v>1284</v>
          </cell>
          <cell r="T27">
            <v>24</v>
          </cell>
          <cell r="U27" t="str">
            <v>Commercial Large Transp</v>
          </cell>
          <cell r="X27">
            <v>1264</v>
          </cell>
          <cell r="Y27">
            <v>1264</v>
          </cell>
          <cell r="Z27">
            <v>1261</v>
          </cell>
          <cell r="AA27">
            <v>1271</v>
          </cell>
          <cell r="AB27">
            <v>1276</v>
          </cell>
          <cell r="AC27">
            <v>1278</v>
          </cell>
          <cell r="AD27">
            <v>1273</v>
          </cell>
          <cell r="AE27">
            <v>1269</v>
          </cell>
          <cell r="AF27">
            <v>1264</v>
          </cell>
          <cell r="AG27">
            <v>1269</v>
          </cell>
          <cell r="AH27">
            <v>1264</v>
          </cell>
          <cell r="AI27">
            <v>1264</v>
          </cell>
        </row>
        <row r="28">
          <cell r="A28">
            <v>25</v>
          </cell>
          <cell r="B28" t="str">
            <v>Interruptible Transp</v>
          </cell>
          <cell r="C28">
            <v>18</v>
          </cell>
          <cell r="D28">
            <v>198</v>
          </cell>
          <cell r="E28">
            <v>18</v>
          </cell>
          <cell r="F28">
            <v>18</v>
          </cell>
          <cell r="G28">
            <v>19</v>
          </cell>
          <cell r="H28">
            <v>17</v>
          </cell>
          <cell r="I28">
            <v>18</v>
          </cell>
          <cell r="J28">
            <v>18</v>
          </cell>
          <cell r="K28">
            <v>18</v>
          </cell>
          <cell r="L28">
            <v>18</v>
          </cell>
          <cell r="M28">
            <v>18</v>
          </cell>
          <cell r="N28">
            <v>18</v>
          </cell>
          <cell r="O28">
            <v>18</v>
          </cell>
          <cell r="T28">
            <v>25</v>
          </cell>
          <cell r="U28" t="str">
            <v>Interruptible Transp</v>
          </cell>
          <cell r="X28">
            <v>19</v>
          </cell>
          <cell r="Y28">
            <v>18</v>
          </cell>
          <cell r="Z28">
            <v>18</v>
          </cell>
          <cell r="AA28">
            <v>18</v>
          </cell>
          <cell r="AB28">
            <v>18</v>
          </cell>
          <cell r="AC28">
            <v>18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  <cell r="AI28">
            <v>18</v>
          </cell>
        </row>
        <row r="29">
          <cell r="A29">
            <v>26</v>
          </cell>
          <cell r="B29" t="str">
            <v>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T29">
            <v>26</v>
          </cell>
          <cell r="U29" t="str">
            <v>OSS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30">
            <v>27</v>
          </cell>
          <cell r="D30">
            <v>750086</v>
          </cell>
          <cell r="E30">
            <v>66927</v>
          </cell>
          <cell r="F30">
            <v>67135</v>
          </cell>
          <cell r="G30">
            <v>67431</v>
          </cell>
          <cell r="H30">
            <v>67855</v>
          </cell>
          <cell r="I30">
            <v>67926</v>
          </cell>
          <cell r="J30">
            <v>68310</v>
          </cell>
          <cell r="K30">
            <v>68507</v>
          </cell>
          <cell r="L30">
            <v>68621</v>
          </cell>
          <cell r="M30">
            <v>68780</v>
          </cell>
          <cell r="N30">
            <v>69108</v>
          </cell>
          <cell r="O30">
            <v>69486</v>
          </cell>
          <cell r="P30">
            <v>0</v>
          </cell>
          <cell r="T30">
            <v>27</v>
          </cell>
          <cell r="X30">
            <v>63942</v>
          </cell>
          <cell r="Y30">
            <v>64105</v>
          </cell>
          <cell r="Z30">
            <v>64327</v>
          </cell>
          <cell r="AA30">
            <v>64728</v>
          </cell>
          <cell r="AB30">
            <v>64771</v>
          </cell>
          <cell r="AC30">
            <v>65037</v>
          </cell>
          <cell r="AD30">
            <v>65451</v>
          </cell>
          <cell r="AE30">
            <v>65537</v>
          </cell>
          <cell r="AF30">
            <v>65746</v>
          </cell>
          <cell r="AG30">
            <v>66117</v>
          </cell>
          <cell r="AH30">
            <v>66451</v>
          </cell>
          <cell r="AI30">
            <v>66648</v>
          </cell>
        </row>
        <row r="31">
          <cell r="A31">
            <v>28</v>
          </cell>
          <cell r="B31" t="str">
            <v>FPU_NG</v>
          </cell>
          <cell r="T31">
            <v>28</v>
          </cell>
          <cell r="U31" t="str">
            <v>FPU_NG</v>
          </cell>
        </row>
        <row r="32">
          <cell r="A32">
            <v>29</v>
          </cell>
          <cell r="B32" t="str">
            <v>Volumes in Mcfs</v>
          </cell>
          <cell r="E32">
            <v>1</v>
          </cell>
          <cell r="F32">
            <v>2</v>
          </cell>
          <cell r="G32">
            <v>3</v>
          </cell>
          <cell r="H32">
            <v>4</v>
          </cell>
          <cell r="I32">
            <v>5</v>
          </cell>
          <cell r="J32">
            <v>6</v>
          </cell>
          <cell r="K32">
            <v>7</v>
          </cell>
          <cell r="L32">
            <v>8</v>
          </cell>
          <cell r="M32">
            <v>9</v>
          </cell>
          <cell r="N32">
            <v>10</v>
          </cell>
          <cell r="O32">
            <v>11</v>
          </cell>
          <cell r="P32">
            <v>12</v>
          </cell>
          <cell r="T32">
            <v>29</v>
          </cell>
          <cell r="U32" t="str">
            <v>Volumes in Mcfs</v>
          </cell>
          <cell r="X32">
            <v>1</v>
          </cell>
          <cell r="Y32">
            <v>2</v>
          </cell>
          <cell r="Z32">
            <v>3</v>
          </cell>
          <cell r="AA32">
            <v>4</v>
          </cell>
          <cell r="AB32">
            <v>5</v>
          </cell>
          <cell r="AC32">
            <v>6</v>
          </cell>
          <cell r="AD32">
            <v>7</v>
          </cell>
          <cell r="AE32">
            <v>8</v>
          </cell>
          <cell r="AF32">
            <v>9</v>
          </cell>
          <cell r="AG32">
            <v>10</v>
          </cell>
          <cell r="AH32">
            <v>11</v>
          </cell>
          <cell r="AI32">
            <v>12</v>
          </cell>
        </row>
        <row r="33">
          <cell r="A33">
            <v>30</v>
          </cell>
          <cell r="B33" t="str">
            <v>Residential</v>
          </cell>
          <cell r="D33">
            <v>1399446.242087855</v>
          </cell>
          <cell r="E33">
            <v>244012.33907878192</v>
          </cell>
          <cell r="F33">
            <v>188172.70425552485</v>
          </cell>
          <cell r="G33">
            <v>161333.81634044324</v>
          </cell>
          <cell r="H33">
            <v>154010.59304703376</v>
          </cell>
          <cell r="I33">
            <v>116849.32417957055</v>
          </cell>
          <cell r="J33">
            <v>92913.39468302943</v>
          </cell>
          <cell r="K33">
            <v>85586.774758986634</v>
          </cell>
          <cell r="L33">
            <v>73495.182588375945</v>
          </cell>
          <cell r="M33">
            <v>80429.007693060223</v>
          </cell>
          <cell r="N33">
            <v>83919.735125136576</v>
          </cell>
          <cell r="O33">
            <v>118723.37033791182</v>
          </cell>
          <cell r="T33">
            <v>30</v>
          </cell>
          <cell r="U33" t="str">
            <v>Residential</v>
          </cell>
          <cell r="X33">
            <v>185034.67620995524</v>
          </cell>
          <cell r="Y33">
            <v>164189.55984029916</v>
          </cell>
          <cell r="Z33">
            <v>148852.11412990626</v>
          </cell>
          <cell r="AA33">
            <v>137043.39857824799</v>
          </cell>
          <cell r="AB33">
            <v>127858.19748758695</v>
          </cell>
          <cell r="AC33">
            <v>97118.749634828098</v>
          </cell>
          <cell r="AD33">
            <v>83379.371896000288</v>
          </cell>
          <cell r="AE33">
            <v>74955.720128545683</v>
          </cell>
          <cell r="AF33">
            <v>74579.028142956944</v>
          </cell>
          <cell r="AG33">
            <v>81314.915765902624</v>
          </cell>
          <cell r="AH33">
            <v>115200.52488071274</v>
          </cell>
          <cell r="AI33">
            <v>185101.82880514226</v>
          </cell>
        </row>
        <row r="34">
          <cell r="A34">
            <v>31</v>
          </cell>
          <cell r="B34" t="str">
            <v>Commercial Small</v>
          </cell>
          <cell r="D34">
            <v>672269.09241406107</v>
          </cell>
          <cell r="E34">
            <v>86077.98227675521</v>
          </cell>
          <cell r="F34">
            <v>72334.34024734635</v>
          </cell>
          <cell r="G34">
            <v>68929.458564611938</v>
          </cell>
          <cell r="H34">
            <v>67348.441912552269</v>
          </cell>
          <cell r="I34">
            <v>60128.828513000284</v>
          </cell>
          <cell r="J34">
            <v>52580.269743889432</v>
          </cell>
          <cell r="K34">
            <v>53600.101275684043</v>
          </cell>
          <cell r="L34">
            <v>48206.933489141957</v>
          </cell>
          <cell r="M34">
            <v>51181.440257084345</v>
          </cell>
          <cell r="N34">
            <v>52143.013925406514</v>
          </cell>
          <cell r="O34">
            <v>59738.282208588847</v>
          </cell>
          <cell r="T34">
            <v>31</v>
          </cell>
          <cell r="U34" t="str">
            <v>Commercial Small</v>
          </cell>
          <cell r="X34">
            <v>85286.113545622822</v>
          </cell>
          <cell r="Y34">
            <v>80333.396630636038</v>
          </cell>
          <cell r="Z34">
            <v>71863.493037296561</v>
          </cell>
          <cell r="AA34">
            <v>46382.974973220385</v>
          </cell>
          <cell r="AB34">
            <v>41554.353880611583</v>
          </cell>
          <cell r="AC34">
            <v>42140.669003797848</v>
          </cell>
          <cell r="AD34">
            <v>44759.92404323689</v>
          </cell>
          <cell r="AE34">
            <v>43137.550881293231</v>
          </cell>
          <cell r="AF34">
            <v>43461.377933586373</v>
          </cell>
          <cell r="AG34">
            <v>47311.879442983729</v>
          </cell>
          <cell r="AH34">
            <v>55781.263998441893</v>
          </cell>
          <cell r="AI34">
            <v>70161.806407634605</v>
          </cell>
        </row>
        <row r="35">
          <cell r="A35">
            <v>32</v>
          </cell>
          <cell r="B35" t="str">
            <v>Commercial Large</v>
          </cell>
          <cell r="D35">
            <v>729780.03700457665</v>
          </cell>
          <cell r="E35">
            <v>88362.421852176412</v>
          </cell>
          <cell r="F35">
            <v>82422.56402765603</v>
          </cell>
          <cell r="G35">
            <v>71660.415814587614</v>
          </cell>
          <cell r="H35">
            <v>84279.062226117356</v>
          </cell>
          <cell r="I35">
            <v>65849.06319992202</v>
          </cell>
          <cell r="J35">
            <v>58261.775245885641</v>
          </cell>
          <cell r="K35">
            <v>61370.668029993139</v>
          </cell>
          <cell r="L35">
            <v>51313.12299152794</v>
          </cell>
          <cell r="M35">
            <v>51971.003018794428</v>
          </cell>
          <cell r="N35">
            <v>54561.467523614738</v>
          </cell>
          <cell r="O35">
            <v>59728.473074301241</v>
          </cell>
          <cell r="T35">
            <v>32</v>
          </cell>
          <cell r="U35" t="str">
            <v>Commercial Large</v>
          </cell>
          <cell r="X35">
            <v>94914.480475216638</v>
          </cell>
          <cell r="Y35">
            <v>86707.929691303871</v>
          </cell>
          <cell r="Z35">
            <v>74835.514655760097</v>
          </cell>
          <cell r="AA35">
            <v>50691.309767260675</v>
          </cell>
          <cell r="AB35">
            <v>51858.077709611382</v>
          </cell>
          <cell r="AC35">
            <v>49162.087837179868</v>
          </cell>
          <cell r="AD35">
            <v>54061.077027948166</v>
          </cell>
          <cell r="AE35">
            <v>53779.985392930241</v>
          </cell>
          <cell r="AF35">
            <v>48651.451942740277</v>
          </cell>
          <cell r="AG35">
            <v>52271.670074982925</v>
          </cell>
          <cell r="AH35">
            <v>61721.529847112637</v>
          </cell>
          <cell r="AI35">
            <v>71601.658389327014</v>
          </cell>
        </row>
        <row r="36">
          <cell r="A36">
            <v>33</v>
          </cell>
          <cell r="B36" t="str">
            <v>Outdoor Lights</v>
          </cell>
          <cell r="D36">
            <v>8972.6769889960069</v>
          </cell>
          <cell r="E36">
            <v>885.59937676502091</v>
          </cell>
          <cell r="F36">
            <v>845.86814684974183</v>
          </cell>
          <cell r="G36">
            <v>845.86814684974183</v>
          </cell>
          <cell r="H36">
            <v>845.86814684974183</v>
          </cell>
          <cell r="I36">
            <v>840.02531892102434</v>
          </cell>
          <cell r="J36">
            <v>840.02531892102434</v>
          </cell>
          <cell r="K36">
            <v>840.02531892102434</v>
          </cell>
          <cell r="L36">
            <v>767.57425260492732</v>
          </cell>
          <cell r="M36">
            <v>767.57425260492732</v>
          </cell>
          <cell r="N36">
            <v>767.57425260492732</v>
          </cell>
          <cell r="O36">
            <v>726.67445710390496</v>
          </cell>
          <cell r="T36">
            <v>33</v>
          </cell>
          <cell r="U36" t="str">
            <v>Outdoor Lights</v>
          </cell>
          <cell r="X36">
            <v>816.65400720615435</v>
          </cell>
          <cell r="Y36">
            <v>954.54474632388735</v>
          </cell>
          <cell r="Z36">
            <v>885.59937676502091</v>
          </cell>
          <cell r="AA36">
            <v>885.59937676502091</v>
          </cell>
          <cell r="AB36">
            <v>885.59937676502091</v>
          </cell>
          <cell r="AC36">
            <v>885.59937676502091</v>
          </cell>
          <cell r="AD36">
            <v>885.59937676502091</v>
          </cell>
          <cell r="AE36">
            <v>885.59937676502091</v>
          </cell>
          <cell r="AF36">
            <v>885.59937676502091</v>
          </cell>
          <cell r="AG36">
            <v>885.59937676502091</v>
          </cell>
          <cell r="AH36">
            <v>885.59937676502091</v>
          </cell>
          <cell r="AI36">
            <v>885.59937676502091</v>
          </cell>
        </row>
        <row r="37">
          <cell r="A37">
            <v>34</v>
          </cell>
          <cell r="B37" t="str">
            <v>Interdepartmental/Special Contracts</v>
          </cell>
          <cell r="D37">
            <v>3012044.9449800369</v>
          </cell>
          <cell r="E37">
            <v>255470.28727237316</v>
          </cell>
          <cell r="F37">
            <v>257659.84321745054</v>
          </cell>
          <cell r="G37">
            <v>270309.37092219305</v>
          </cell>
          <cell r="H37">
            <v>238222.65848670757</v>
          </cell>
          <cell r="I37">
            <v>268962.56110624206</v>
          </cell>
          <cell r="J37">
            <v>283890.73619631905</v>
          </cell>
          <cell r="K37">
            <v>272813.45603271987</v>
          </cell>
          <cell r="L37">
            <v>272813.45603271987</v>
          </cell>
          <cell r="M37">
            <v>279631.13156100886</v>
          </cell>
          <cell r="N37">
            <v>308607.84302268969</v>
          </cell>
          <cell r="O37">
            <v>303663.60112961341</v>
          </cell>
          <cell r="T37">
            <v>34</v>
          </cell>
          <cell r="U37" t="str">
            <v>Interdepartmental/Special Contracts</v>
          </cell>
          <cell r="X37">
            <v>225464.39380660237</v>
          </cell>
          <cell r="Y37">
            <v>164174.56714383094</v>
          </cell>
          <cell r="Z37">
            <v>206098.54903106438</v>
          </cell>
          <cell r="AA37">
            <v>207769.69519914305</v>
          </cell>
          <cell r="AB37">
            <v>270498.71263024636</v>
          </cell>
          <cell r="AC37">
            <v>251733.8114714188</v>
          </cell>
          <cell r="AD37">
            <v>274926.15249780897</v>
          </cell>
          <cell r="AE37">
            <v>193293.23400525854</v>
          </cell>
          <cell r="AF37">
            <v>256233.58944395755</v>
          </cell>
          <cell r="AG37">
            <v>273887.14188333822</v>
          </cell>
          <cell r="AH37">
            <v>265831.43636186578</v>
          </cell>
          <cell r="AI37">
            <v>309209.08462362445</v>
          </cell>
        </row>
        <row r="38">
          <cell r="A38">
            <v>35</v>
          </cell>
          <cell r="B38" t="str">
            <v>Unbilled</v>
          </cell>
          <cell r="D38">
            <v>-67779</v>
          </cell>
          <cell r="E38">
            <v>-10265</v>
          </cell>
          <cell r="F38">
            <v>2198</v>
          </cell>
          <cell r="G38">
            <v>-18727</v>
          </cell>
          <cell r="H38">
            <v>-16100</v>
          </cell>
          <cell r="I38">
            <v>-13461</v>
          </cell>
          <cell r="J38">
            <v>-22295</v>
          </cell>
          <cell r="K38">
            <v>-10168</v>
          </cell>
          <cell r="L38">
            <v>4550</v>
          </cell>
          <cell r="M38">
            <v>-15297</v>
          </cell>
          <cell r="N38">
            <v>31786</v>
          </cell>
          <cell r="T38">
            <v>35</v>
          </cell>
          <cell r="U38" t="str">
            <v>Unbilled</v>
          </cell>
          <cell r="X38">
            <v>-10232</v>
          </cell>
          <cell r="Y38">
            <v>3159</v>
          </cell>
          <cell r="Z38">
            <v>-15931</v>
          </cell>
          <cell r="AA38">
            <v>-48452</v>
          </cell>
          <cell r="AB38">
            <v>-24861</v>
          </cell>
          <cell r="AC38">
            <v>-1413</v>
          </cell>
          <cell r="AD38">
            <v>-16236</v>
          </cell>
          <cell r="AE38">
            <v>552</v>
          </cell>
          <cell r="AF38">
            <v>9620</v>
          </cell>
          <cell r="AG38">
            <v>26770</v>
          </cell>
          <cell r="AH38">
            <v>16551</v>
          </cell>
          <cell r="AI38">
            <v>56178</v>
          </cell>
        </row>
        <row r="39">
          <cell r="A39">
            <v>36</v>
          </cell>
          <cell r="B39" t="str">
            <v>Commercial Small Transp</v>
          </cell>
          <cell r="D39">
            <v>658951.26497224683</v>
          </cell>
          <cell r="E39">
            <v>71765.216671535803</v>
          </cell>
          <cell r="F39">
            <v>64466.802999318461</v>
          </cell>
          <cell r="G39">
            <v>61417.367806018134</v>
          </cell>
          <cell r="H39">
            <v>66004.690817022129</v>
          </cell>
          <cell r="I39">
            <v>60523.668322134537</v>
          </cell>
          <cell r="J39">
            <v>55291.102346869171</v>
          </cell>
          <cell r="K39">
            <v>54763.626448534465</v>
          </cell>
          <cell r="L39">
            <v>52713.438504236103</v>
          </cell>
          <cell r="M39">
            <v>56014.134774564212</v>
          </cell>
          <cell r="N39">
            <v>55190.409971759691</v>
          </cell>
          <cell r="O39">
            <v>60800.806310254135</v>
          </cell>
          <cell r="T39">
            <v>36</v>
          </cell>
          <cell r="U39" t="str">
            <v>Commercial Small Transp</v>
          </cell>
          <cell r="X39">
            <v>69521.442204693696</v>
          </cell>
          <cell r="Y39">
            <v>65492.46372577655</v>
          </cell>
          <cell r="Z39">
            <v>61644.830071087716</v>
          </cell>
          <cell r="AA39">
            <v>44806.757230499468</v>
          </cell>
          <cell r="AB39">
            <v>42214.836887720339</v>
          </cell>
          <cell r="AC39">
            <v>44723.62742233905</v>
          </cell>
          <cell r="AD39">
            <v>49370.796572207619</v>
          </cell>
          <cell r="AE39">
            <v>46536.194371409067</v>
          </cell>
          <cell r="AF39">
            <v>47700.063297302535</v>
          </cell>
          <cell r="AG39">
            <v>49713.231083844599</v>
          </cell>
          <cell r="AH39">
            <v>55426.081410069157</v>
          </cell>
          <cell r="AI39">
            <v>63513.63618658101</v>
          </cell>
        </row>
        <row r="40">
          <cell r="A40">
            <v>37</v>
          </cell>
          <cell r="B40" t="str">
            <v>Commercial Large Transp</v>
          </cell>
          <cell r="D40">
            <v>2885230.28435096</v>
          </cell>
          <cell r="E40">
            <v>285667.38143928326</v>
          </cell>
          <cell r="F40">
            <v>263090.86571233836</v>
          </cell>
          <cell r="G40">
            <v>278411.42078099144</v>
          </cell>
          <cell r="H40">
            <v>272336.20703086961</v>
          </cell>
          <cell r="I40">
            <v>262101.60288246177</v>
          </cell>
          <cell r="J40">
            <v>241996.3423897168</v>
          </cell>
          <cell r="K40">
            <v>257529.62605901284</v>
          </cell>
          <cell r="L40">
            <v>238891.95734735613</v>
          </cell>
          <cell r="M40">
            <v>257291.47239263775</v>
          </cell>
          <cell r="N40">
            <v>256956.50306748447</v>
          </cell>
          <cell r="O40">
            <v>270956.9052488071</v>
          </cell>
          <cell r="T40">
            <v>37</v>
          </cell>
          <cell r="U40" t="str">
            <v>Commercial Large Transp</v>
          </cell>
          <cell r="X40">
            <v>314314.06855584763</v>
          </cell>
          <cell r="Y40">
            <v>292558.30850131426</v>
          </cell>
          <cell r="Z40">
            <v>276026.95686045411</v>
          </cell>
          <cell r="AA40">
            <v>212905.76979257943</v>
          </cell>
          <cell r="AB40">
            <v>200708.49644561307</v>
          </cell>
          <cell r="AC40">
            <v>213969.00379783841</v>
          </cell>
          <cell r="AD40">
            <v>227404.65186483596</v>
          </cell>
          <cell r="AE40">
            <v>218516.28104002328</v>
          </cell>
          <cell r="AF40">
            <v>223018.28999902631</v>
          </cell>
          <cell r="AG40">
            <v>226002.28746713401</v>
          </cell>
          <cell r="AH40">
            <v>240245.35787321054</v>
          </cell>
          <cell r="AI40">
            <v>267031.15201090655</v>
          </cell>
        </row>
        <row r="41">
          <cell r="A41">
            <v>38</v>
          </cell>
          <cell r="B41" t="str">
            <v>Interruptible Transp</v>
          </cell>
          <cell r="D41">
            <v>847183.94488265645</v>
          </cell>
          <cell r="E41">
            <v>91064.757035738628</v>
          </cell>
          <cell r="F41">
            <v>73697.934560327194</v>
          </cell>
          <cell r="G41">
            <v>80415.989872431601</v>
          </cell>
          <cell r="H41">
            <v>71024.366540072064</v>
          </cell>
          <cell r="I41">
            <v>76281.822962313745</v>
          </cell>
          <cell r="J41">
            <v>66729.093387866393</v>
          </cell>
          <cell r="K41">
            <v>72038.147823546591</v>
          </cell>
          <cell r="L41">
            <v>76625.989872431586</v>
          </cell>
          <cell r="M41">
            <v>71981.260103223292</v>
          </cell>
          <cell r="N41">
            <v>84824.386989969818</v>
          </cell>
          <cell r="O41">
            <v>82500.195734735622</v>
          </cell>
          <cell r="T41">
            <v>38</v>
          </cell>
          <cell r="U41" t="str">
            <v>Interruptible Transp</v>
          </cell>
          <cell r="X41">
            <v>82947.757327880041</v>
          </cell>
          <cell r="Y41">
            <v>76647.994936215793</v>
          </cell>
          <cell r="Z41">
            <v>88497.271399357269</v>
          </cell>
          <cell r="AA41">
            <v>77222.376083357682</v>
          </cell>
          <cell r="AB41">
            <v>83742.951601908659</v>
          </cell>
          <cell r="AC41">
            <v>75588.178011490891</v>
          </cell>
          <cell r="AD41">
            <v>80777.221735319894</v>
          </cell>
          <cell r="AE41">
            <v>80855.189405005367</v>
          </cell>
          <cell r="AF41">
            <v>77605.329632875641</v>
          </cell>
          <cell r="AG41">
            <v>82988.887915084226</v>
          </cell>
          <cell r="AH41">
            <v>83716.971467523617</v>
          </cell>
          <cell r="AI41">
            <v>87829.851981692467</v>
          </cell>
        </row>
        <row r="42">
          <cell r="A42">
            <v>39</v>
          </cell>
          <cell r="D42">
            <v>10146099.487681389</v>
          </cell>
          <cell r="E42">
            <v>1113040.9850034094</v>
          </cell>
          <cell r="F42">
            <v>1004888.9231668115</v>
          </cell>
          <cell r="G42">
            <v>974596.70824812679</v>
          </cell>
          <cell r="H42">
            <v>937971.88820722443</v>
          </cell>
          <cell r="I42">
            <v>898075.89648456604</v>
          </cell>
          <cell r="J42">
            <v>830207.73931249697</v>
          </cell>
          <cell r="K42">
            <v>848374.42574739852</v>
          </cell>
          <cell r="L42">
            <v>819377.65507839457</v>
          </cell>
          <cell r="M42">
            <v>833970.02405297803</v>
          </cell>
          <cell r="N42">
            <v>928756.93387866649</v>
          </cell>
          <cell r="O42">
            <v>956838.308501316</v>
          </cell>
          <cell r="P42">
            <v>0</v>
          </cell>
          <cell r="T42">
            <v>39</v>
          </cell>
          <cell r="X42">
            <v>1048067.5861330245</v>
          </cell>
          <cell r="Y42">
            <v>934217.76521570049</v>
          </cell>
          <cell r="Z42">
            <v>912773.32856169145</v>
          </cell>
          <cell r="AA42">
            <v>729255.88100107375</v>
          </cell>
          <cell r="AB42">
            <v>794460.22602006339</v>
          </cell>
          <cell r="AC42">
            <v>773908.72655565792</v>
          </cell>
          <cell r="AD42">
            <v>799328.79501412285</v>
          </cell>
          <cell r="AE42">
            <v>712511.75460123038</v>
          </cell>
          <cell r="AF42">
            <v>781754.72976921056</v>
          </cell>
          <cell r="AG42">
            <v>841145.61301003525</v>
          </cell>
          <cell r="AH42">
            <v>895359.76521570142</v>
          </cell>
          <cell r="AI42">
            <v>1111512.6177816733</v>
          </cell>
        </row>
        <row r="43">
          <cell r="A43">
            <v>40</v>
          </cell>
          <cell r="B43" t="str">
            <v>Indiantown</v>
          </cell>
          <cell r="T43">
            <v>40</v>
          </cell>
          <cell r="U43" t="str">
            <v>Indiantown</v>
          </cell>
        </row>
        <row r="44">
          <cell r="A44">
            <v>41</v>
          </cell>
          <cell r="B44" t="str">
            <v>Customers</v>
          </cell>
          <cell r="E44">
            <v>1</v>
          </cell>
          <cell r="F44">
            <v>2</v>
          </cell>
          <cell r="G44">
            <v>3</v>
          </cell>
          <cell r="H44">
            <v>4</v>
          </cell>
          <cell r="I44">
            <v>5</v>
          </cell>
          <cell r="J44">
            <v>6</v>
          </cell>
          <cell r="K44">
            <v>7</v>
          </cell>
          <cell r="L44">
            <v>8</v>
          </cell>
          <cell r="M44">
            <v>9</v>
          </cell>
          <cell r="N44">
            <v>10</v>
          </cell>
          <cell r="O44">
            <v>11</v>
          </cell>
          <cell r="P44">
            <v>12</v>
          </cell>
          <cell r="T44">
            <v>41</v>
          </cell>
          <cell r="U44" t="str">
            <v>Customers</v>
          </cell>
          <cell r="X44">
            <v>1</v>
          </cell>
          <cell r="Y44">
            <v>2</v>
          </cell>
          <cell r="Z44">
            <v>3</v>
          </cell>
          <cell r="AA44">
            <v>4</v>
          </cell>
          <cell r="AB44">
            <v>5</v>
          </cell>
          <cell r="AC44">
            <v>6</v>
          </cell>
          <cell r="AD44">
            <v>7</v>
          </cell>
          <cell r="AE44">
            <v>8</v>
          </cell>
          <cell r="AF44">
            <v>9</v>
          </cell>
          <cell r="AG44">
            <v>10</v>
          </cell>
          <cell r="AH44">
            <v>11</v>
          </cell>
          <cell r="AI44">
            <v>12</v>
          </cell>
        </row>
        <row r="45">
          <cell r="A45">
            <v>42</v>
          </cell>
          <cell r="B45" t="str">
            <v>TS1 - RS</v>
          </cell>
          <cell r="E45">
            <v>675</v>
          </cell>
          <cell r="F45">
            <v>678</v>
          </cell>
          <cell r="G45">
            <v>674</v>
          </cell>
          <cell r="H45">
            <v>678</v>
          </cell>
          <cell r="I45">
            <v>674</v>
          </cell>
          <cell r="J45">
            <v>674</v>
          </cell>
          <cell r="K45">
            <v>676</v>
          </cell>
          <cell r="L45">
            <v>675</v>
          </cell>
          <cell r="M45">
            <v>677</v>
          </cell>
          <cell r="N45">
            <v>680</v>
          </cell>
          <cell r="O45">
            <v>668</v>
          </cell>
          <cell r="T45">
            <v>42</v>
          </cell>
          <cell r="U45" t="str">
            <v>TS1 - RS</v>
          </cell>
          <cell r="X45">
            <v>676</v>
          </cell>
          <cell r="Y45">
            <v>674</v>
          </cell>
          <cell r="Z45">
            <v>673</v>
          </cell>
          <cell r="AA45">
            <v>673</v>
          </cell>
          <cell r="AB45">
            <v>674</v>
          </cell>
          <cell r="AC45">
            <v>671</v>
          </cell>
          <cell r="AD45">
            <v>673</v>
          </cell>
          <cell r="AE45">
            <v>675</v>
          </cell>
          <cell r="AF45">
            <v>676</v>
          </cell>
          <cell r="AG45">
            <v>675</v>
          </cell>
          <cell r="AH45">
            <v>674</v>
          </cell>
          <cell r="AI45">
            <v>672</v>
          </cell>
        </row>
        <row r="46">
          <cell r="A46">
            <v>43</v>
          </cell>
          <cell r="B46" t="str">
            <v>TS1 - Com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T46">
            <v>43</v>
          </cell>
          <cell r="U46" t="str">
            <v>TS1 - Com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44</v>
          </cell>
          <cell r="B47" t="str">
            <v>TS2</v>
          </cell>
          <cell r="E47">
            <v>21</v>
          </cell>
          <cell r="F47">
            <v>21</v>
          </cell>
          <cell r="G47">
            <v>21</v>
          </cell>
          <cell r="H47">
            <v>22</v>
          </cell>
          <cell r="I47">
            <v>22</v>
          </cell>
          <cell r="J47">
            <v>22</v>
          </cell>
          <cell r="K47">
            <v>22</v>
          </cell>
          <cell r="L47">
            <v>22</v>
          </cell>
          <cell r="M47">
            <v>22</v>
          </cell>
          <cell r="N47">
            <v>22</v>
          </cell>
          <cell r="O47">
            <v>22</v>
          </cell>
          <cell r="T47">
            <v>44</v>
          </cell>
          <cell r="U47" t="str">
            <v>TS2</v>
          </cell>
          <cell r="X47">
            <v>22</v>
          </cell>
          <cell r="Y47">
            <v>22</v>
          </cell>
          <cell r="Z47">
            <v>22</v>
          </cell>
          <cell r="AA47">
            <v>22</v>
          </cell>
          <cell r="AB47">
            <v>22</v>
          </cell>
          <cell r="AC47">
            <v>22</v>
          </cell>
          <cell r="AD47">
            <v>22</v>
          </cell>
          <cell r="AE47">
            <v>22</v>
          </cell>
          <cell r="AF47">
            <v>22</v>
          </cell>
          <cell r="AG47">
            <v>21</v>
          </cell>
          <cell r="AH47">
            <v>21</v>
          </cell>
          <cell r="AI47">
            <v>21</v>
          </cell>
        </row>
        <row r="48">
          <cell r="A48">
            <v>45</v>
          </cell>
          <cell r="B48" t="str">
            <v>TS3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T48">
            <v>45</v>
          </cell>
          <cell r="U48" t="str">
            <v>TS3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</row>
        <row r="49">
          <cell r="A49">
            <v>46</v>
          </cell>
          <cell r="B49" t="str">
            <v>TS4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T49">
            <v>46</v>
          </cell>
          <cell r="U49" t="str">
            <v>TS4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  <cell r="AF49">
            <v>2</v>
          </cell>
          <cell r="AG49">
            <v>2</v>
          </cell>
          <cell r="AH49">
            <v>2</v>
          </cell>
          <cell r="AI49">
            <v>2</v>
          </cell>
        </row>
        <row r="50">
          <cell r="A50">
            <v>47</v>
          </cell>
          <cell r="E50">
            <v>699</v>
          </cell>
          <cell r="F50">
            <v>700</v>
          </cell>
          <cell r="G50">
            <v>696</v>
          </cell>
          <cell r="H50">
            <v>701</v>
          </cell>
          <cell r="I50">
            <v>697</v>
          </cell>
          <cell r="J50">
            <v>697</v>
          </cell>
          <cell r="K50">
            <v>699</v>
          </cell>
          <cell r="L50">
            <v>698</v>
          </cell>
          <cell r="M50">
            <v>700</v>
          </cell>
          <cell r="N50">
            <v>703</v>
          </cell>
          <cell r="O50">
            <v>691</v>
          </cell>
          <cell r="P50">
            <v>0</v>
          </cell>
          <cell r="T50">
            <v>47</v>
          </cell>
          <cell r="X50">
            <v>701</v>
          </cell>
          <cell r="Y50">
            <v>699</v>
          </cell>
          <cell r="Z50">
            <v>698</v>
          </cell>
          <cell r="AA50">
            <v>698</v>
          </cell>
          <cell r="AB50">
            <v>699</v>
          </cell>
          <cell r="AC50">
            <v>696</v>
          </cell>
          <cell r="AD50">
            <v>698</v>
          </cell>
          <cell r="AE50">
            <v>700</v>
          </cell>
          <cell r="AF50">
            <v>701</v>
          </cell>
          <cell r="AG50">
            <v>699</v>
          </cell>
          <cell r="AH50">
            <v>698</v>
          </cell>
          <cell r="AI50">
            <v>696</v>
          </cell>
        </row>
        <row r="51">
          <cell r="A51">
            <v>48</v>
          </cell>
          <cell r="B51" t="str">
            <v>Indiantown</v>
          </cell>
          <cell r="T51">
            <v>48</v>
          </cell>
          <cell r="U51" t="str">
            <v>Indiantown</v>
          </cell>
        </row>
        <row r="52">
          <cell r="A52">
            <v>49</v>
          </cell>
          <cell r="B52" t="str">
            <v>Volumes in Mcfs</v>
          </cell>
          <cell r="E52">
            <v>1</v>
          </cell>
          <cell r="F52">
            <v>2</v>
          </cell>
          <cell r="G52">
            <v>3</v>
          </cell>
          <cell r="H52">
            <v>4</v>
          </cell>
          <cell r="I52">
            <v>5</v>
          </cell>
          <cell r="J52">
            <v>6</v>
          </cell>
          <cell r="K52">
            <v>7</v>
          </cell>
          <cell r="L52">
            <v>8</v>
          </cell>
          <cell r="M52">
            <v>9</v>
          </cell>
          <cell r="N52">
            <v>10</v>
          </cell>
          <cell r="O52">
            <v>11</v>
          </cell>
          <cell r="P52">
            <v>12</v>
          </cell>
          <cell r="T52">
            <v>49</v>
          </cell>
          <cell r="U52" t="str">
            <v>Volumes Mcfs</v>
          </cell>
          <cell r="X52">
            <v>1</v>
          </cell>
          <cell r="Y52">
            <v>2</v>
          </cell>
          <cell r="Z52">
            <v>3</v>
          </cell>
          <cell r="AA52">
            <v>4</v>
          </cell>
          <cell r="AB52">
            <v>5</v>
          </cell>
          <cell r="AC52">
            <v>6</v>
          </cell>
          <cell r="AD52">
            <v>7</v>
          </cell>
          <cell r="AE52">
            <v>8</v>
          </cell>
          <cell r="AF52">
            <v>9</v>
          </cell>
          <cell r="AG52">
            <v>10</v>
          </cell>
          <cell r="AH52">
            <v>11</v>
          </cell>
          <cell r="AI52">
            <v>12</v>
          </cell>
        </row>
        <row r="53">
          <cell r="A53">
            <v>50</v>
          </cell>
          <cell r="B53" t="str">
            <v>TS1 - RS</v>
          </cell>
          <cell r="D53">
            <v>10050.820917323981</v>
          </cell>
          <cell r="E53">
            <v>1151.4402570844279</v>
          </cell>
          <cell r="F53">
            <v>986.67640471321238</v>
          </cell>
          <cell r="G53">
            <v>1032.0654396728021</v>
          </cell>
          <cell r="H53">
            <v>960.14412308890724</v>
          </cell>
          <cell r="I53">
            <v>870.7089297886838</v>
          </cell>
          <cell r="J53">
            <v>906.63258350374747</v>
          </cell>
          <cell r="K53">
            <v>878.64056870191871</v>
          </cell>
          <cell r="L53">
            <v>781.9651377933593</v>
          </cell>
          <cell r="M53">
            <v>894.44444444444423</v>
          </cell>
          <cell r="N53">
            <v>813.57873210633954</v>
          </cell>
          <cell r="O53">
            <v>774.5242964261364</v>
          </cell>
          <cell r="T53">
            <v>50</v>
          </cell>
          <cell r="U53" t="str">
            <v>TS1 - RS</v>
          </cell>
          <cell r="X53">
            <v>1177.8303632291363</v>
          </cell>
          <cell r="Y53">
            <v>957.55575031648698</v>
          </cell>
          <cell r="Z53">
            <v>988.65420196708556</v>
          </cell>
          <cell r="AA53">
            <v>1058.3737462265053</v>
          </cell>
          <cell r="AB53">
            <v>984.08024150355459</v>
          </cell>
          <cell r="AC53">
            <v>880.15191352614727</v>
          </cell>
          <cell r="AD53">
            <v>976.52838640568621</v>
          </cell>
          <cell r="AE53">
            <v>819.10215210828824</v>
          </cell>
          <cell r="AF53">
            <v>861.90768331872573</v>
          </cell>
          <cell r="AG53">
            <v>850.31161748953127</v>
          </cell>
          <cell r="AH53">
            <v>1028.2685753237893</v>
          </cell>
          <cell r="AI53">
            <v>1154.1201674944011</v>
          </cell>
        </row>
        <row r="54">
          <cell r="A54">
            <v>51</v>
          </cell>
          <cell r="B54" t="str">
            <v>TS1 - Com</v>
          </cell>
          <cell r="D54">
            <v>0</v>
          </cell>
          <cell r="H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T54">
            <v>51</v>
          </cell>
          <cell r="U54" t="str">
            <v>TS1 - Com</v>
          </cell>
        </row>
        <row r="55">
          <cell r="A55">
            <v>52</v>
          </cell>
          <cell r="B55" t="str">
            <v>TS2</v>
          </cell>
          <cell r="D55">
            <v>7225.7493426818583</v>
          </cell>
          <cell r="E55">
            <v>649.06417372675048</v>
          </cell>
          <cell r="F55">
            <v>620.48884993670276</v>
          </cell>
          <cell r="G55">
            <v>686.46216768916145</v>
          </cell>
          <cell r="H55">
            <v>704.86902327393113</v>
          </cell>
          <cell r="I55">
            <v>650.13730645632484</v>
          </cell>
          <cell r="J55">
            <v>680.5833089882168</v>
          </cell>
          <cell r="K55">
            <v>644.02278702892204</v>
          </cell>
          <cell r="L55">
            <v>616.79033985782439</v>
          </cell>
          <cell r="M55">
            <v>713.86113545622732</v>
          </cell>
          <cell r="N55">
            <v>547.77193494984908</v>
          </cell>
          <cell r="O55">
            <v>711.69831531794728</v>
          </cell>
          <cell r="T55">
            <v>52</v>
          </cell>
          <cell r="U55" t="str">
            <v>TS2</v>
          </cell>
          <cell r="X55">
            <v>719.91625279968821</v>
          </cell>
          <cell r="Y55">
            <v>720.23760833576785</v>
          </cell>
          <cell r="Z55">
            <v>699.14305190378809</v>
          </cell>
          <cell r="AA55">
            <v>627.458369851008</v>
          </cell>
          <cell r="AB55">
            <v>638.78663940013632</v>
          </cell>
          <cell r="AC55">
            <v>594.87291849255041</v>
          </cell>
          <cell r="AD55">
            <v>665.4591488947317</v>
          </cell>
          <cell r="AE55">
            <v>583.88353296328739</v>
          </cell>
          <cell r="AF55">
            <v>669.48193592365362</v>
          </cell>
          <cell r="AG55">
            <v>578.08452624403549</v>
          </cell>
          <cell r="AH55">
            <v>682.81721686629658</v>
          </cell>
          <cell r="AI55">
            <v>655.18453598208191</v>
          </cell>
        </row>
        <row r="56">
          <cell r="A56">
            <v>53</v>
          </cell>
          <cell r="B56" t="str">
            <v>TS3</v>
          </cell>
          <cell r="D56">
            <v>726.20118804167896</v>
          </cell>
          <cell r="E56">
            <v>91.963190184049083</v>
          </cell>
          <cell r="F56">
            <v>73.54270133411238</v>
          </cell>
          <cell r="G56">
            <v>64.526244035446496</v>
          </cell>
          <cell r="H56">
            <v>81.73142467620994</v>
          </cell>
          <cell r="I56">
            <v>48.13516408608433</v>
          </cell>
          <cell r="J56">
            <v>86.145681176356021</v>
          </cell>
          <cell r="K56">
            <v>46.774758983347937</v>
          </cell>
          <cell r="L56">
            <v>46.842925309182974</v>
          </cell>
          <cell r="M56">
            <v>64.659655273152211</v>
          </cell>
          <cell r="N56">
            <v>54.268185801928126</v>
          </cell>
          <cell r="O56">
            <v>67.611257181809322</v>
          </cell>
          <cell r="T56">
            <v>53</v>
          </cell>
          <cell r="U56" t="str">
            <v>TS3</v>
          </cell>
          <cell r="X56">
            <v>31.706105755185508</v>
          </cell>
          <cell r="Y56">
            <v>28.863569967864443</v>
          </cell>
          <cell r="Z56">
            <v>38.260784886551754</v>
          </cell>
          <cell r="AA56">
            <v>33.979939624111402</v>
          </cell>
          <cell r="AB56">
            <v>48.624987827441814</v>
          </cell>
          <cell r="AC56">
            <v>34.503846528386404</v>
          </cell>
          <cell r="AD56">
            <v>43.365468886941279</v>
          </cell>
          <cell r="AE56">
            <v>39.629954231181223</v>
          </cell>
          <cell r="AF56">
            <v>33.31385724023761</v>
          </cell>
          <cell r="AG56">
            <v>25.543869899698119</v>
          </cell>
          <cell r="AH56">
            <v>41.003018794429835</v>
          </cell>
          <cell r="AI56">
            <v>55.640276560521961</v>
          </cell>
        </row>
        <row r="57">
          <cell r="A57">
            <v>54</v>
          </cell>
          <cell r="B57" t="str">
            <v>TS4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T57">
            <v>54</v>
          </cell>
          <cell r="U57" t="str">
            <v>TS4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A58">
            <v>55</v>
          </cell>
          <cell r="D58">
            <v>18002.771448047519</v>
          </cell>
          <cell r="E58">
            <v>1892.4676209952274</v>
          </cell>
          <cell r="F58">
            <v>1680.7079559840274</v>
          </cell>
          <cell r="G58">
            <v>1783.05385139741</v>
          </cell>
          <cell r="H58">
            <v>1746.7445710390484</v>
          </cell>
          <cell r="I58">
            <v>1568.981400331093</v>
          </cell>
          <cell r="J58">
            <v>1673.3615736683203</v>
          </cell>
          <cell r="K58">
            <v>1569.4381147141887</v>
          </cell>
          <cell r="L58">
            <v>1445.5984029603667</v>
          </cell>
          <cell r="M58">
            <v>1672.9652351738237</v>
          </cell>
          <cell r="N58">
            <v>1415.618852858117</v>
          </cell>
          <cell r="O58">
            <v>1553.8338689258931</v>
          </cell>
          <cell r="P58">
            <v>0</v>
          </cell>
          <cell r="T58">
            <v>55</v>
          </cell>
          <cell r="X58">
            <v>1929.45272178401</v>
          </cell>
          <cell r="Y58">
            <v>1706.6569286201193</v>
          </cell>
          <cell r="Z58">
            <v>1726.0580387574255</v>
          </cell>
          <cell r="AA58">
            <v>1719.8120557016248</v>
          </cell>
          <cell r="AB58">
            <v>1671.4918687311326</v>
          </cell>
          <cell r="AC58">
            <v>1509.5286785470842</v>
          </cell>
          <cell r="AD58">
            <v>1685.3530041873591</v>
          </cell>
          <cell r="AE58">
            <v>1442.6156393027568</v>
          </cell>
          <cell r="AF58">
            <v>1564.7034764826171</v>
          </cell>
          <cell r="AG58">
            <v>1453.9400136332649</v>
          </cell>
          <cell r="AH58">
            <v>1752.0888109845157</v>
          </cell>
          <cell r="AI58">
            <v>1864.9449800370051</v>
          </cell>
        </row>
        <row r="59">
          <cell r="A59">
            <v>56</v>
          </cell>
          <cell r="T59">
            <v>56</v>
          </cell>
        </row>
        <row r="60">
          <cell r="A60">
            <v>57</v>
          </cell>
          <cell r="B60" t="str">
            <v>Fort Meade</v>
          </cell>
          <cell r="T60">
            <v>57</v>
          </cell>
          <cell r="U60" t="str">
            <v>Fort Meade</v>
          </cell>
        </row>
        <row r="61">
          <cell r="A61">
            <v>58</v>
          </cell>
          <cell r="B61" t="str">
            <v>Customers</v>
          </cell>
          <cell r="E61">
            <v>1</v>
          </cell>
          <cell r="F61">
            <v>2</v>
          </cell>
          <cell r="G61">
            <v>3</v>
          </cell>
          <cell r="H61">
            <v>4</v>
          </cell>
          <cell r="I61">
            <v>5</v>
          </cell>
          <cell r="J61">
            <v>6</v>
          </cell>
          <cell r="K61">
            <v>7</v>
          </cell>
          <cell r="L61">
            <v>8</v>
          </cell>
          <cell r="M61">
            <v>9</v>
          </cell>
          <cell r="N61">
            <v>10</v>
          </cell>
          <cell r="O61">
            <v>11</v>
          </cell>
          <cell r="P61">
            <v>12</v>
          </cell>
          <cell r="T61">
            <v>58</v>
          </cell>
          <cell r="U61" t="str">
            <v>Customers</v>
          </cell>
          <cell r="X61">
            <v>1</v>
          </cell>
          <cell r="Y61">
            <v>2</v>
          </cell>
          <cell r="Z61">
            <v>3</v>
          </cell>
          <cell r="AA61">
            <v>4</v>
          </cell>
          <cell r="AB61">
            <v>5</v>
          </cell>
          <cell r="AC61">
            <v>6</v>
          </cell>
          <cell r="AD61">
            <v>7</v>
          </cell>
          <cell r="AE61">
            <v>8</v>
          </cell>
          <cell r="AF61">
            <v>9</v>
          </cell>
          <cell r="AG61">
            <v>10</v>
          </cell>
          <cell r="AH61">
            <v>11</v>
          </cell>
          <cell r="AI61">
            <v>12</v>
          </cell>
        </row>
        <row r="62">
          <cell r="A62">
            <v>59</v>
          </cell>
          <cell r="B62" t="str">
            <v>Residential</v>
          </cell>
          <cell r="E62">
            <v>560</v>
          </cell>
          <cell r="F62">
            <v>565</v>
          </cell>
          <cell r="G62">
            <v>563</v>
          </cell>
          <cell r="H62">
            <v>563</v>
          </cell>
          <cell r="I62">
            <v>550</v>
          </cell>
          <cell r="J62">
            <v>548</v>
          </cell>
          <cell r="K62">
            <v>552</v>
          </cell>
          <cell r="L62">
            <v>547</v>
          </cell>
          <cell r="M62">
            <v>548</v>
          </cell>
          <cell r="N62">
            <v>545</v>
          </cell>
          <cell r="O62">
            <v>544</v>
          </cell>
          <cell r="T62">
            <v>59</v>
          </cell>
          <cell r="U62" t="str">
            <v>Residential</v>
          </cell>
          <cell r="X62">
            <v>565</v>
          </cell>
          <cell r="Y62">
            <v>564</v>
          </cell>
          <cell r="Z62">
            <v>563</v>
          </cell>
          <cell r="AA62">
            <v>556</v>
          </cell>
          <cell r="AB62">
            <v>549</v>
          </cell>
          <cell r="AC62">
            <v>545</v>
          </cell>
          <cell r="AD62">
            <v>549</v>
          </cell>
          <cell r="AE62">
            <v>549</v>
          </cell>
          <cell r="AF62">
            <v>551</v>
          </cell>
          <cell r="AG62">
            <v>554</v>
          </cell>
          <cell r="AH62">
            <v>553</v>
          </cell>
          <cell r="AI62">
            <v>554</v>
          </cell>
        </row>
        <row r="63">
          <cell r="A63">
            <v>60</v>
          </cell>
          <cell r="B63" t="str">
            <v>Commercial</v>
          </cell>
          <cell r="E63">
            <v>34</v>
          </cell>
          <cell r="F63">
            <v>34</v>
          </cell>
          <cell r="G63">
            <v>34</v>
          </cell>
          <cell r="H63">
            <v>34</v>
          </cell>
          <cell r="I63">
            <v>35</v>
          </cell>
          <cell r="J63">
            <v>35</v>
          </cell>
          <cell r="K63">
            <v>36</v>
          </cell>
          <cell r="L63">
            <v>34</v>
          </cell>
          <cell r="M63">
            <v>35</v>
          </cell>
          <cell r="N63">
            <v>34</v>
          </cell>
          <cell r="O63">
            <v>31</v>
          </cell>
          <cell r="T63">
            <v>60</v>
          </cell>
          <cell r="U63" t="str">
            <v>Commercial</v>
          </cell>
          <cell r="X63">
            <v>33</v>
          </cell>
          <cell r="Y63">
            <v>32</v>
          </cell>
          <cell r="Z63">
            <v>33</v>
          </cell>
          <cell r="AA63">
            <v>33</v>
          </cell>
          <cell r="AB63">
            <v>33</v>
          </cell>
          <cell r="AC63">
            <v>33</v>
          </cell>
          <cell r="AD63">
            <v>33</v>
          </cell>
          <cell r="AE63">
            <v>33</v>
          </cell>
          <cell r="AF63">
            <v>33</v>
          </cell>
          <cell r="AG63">
            <v>34</v>
          </cell>
          <cell r="AH63">
            <v>34</v>
          </cell>
          <cell r="AI63">
            <v>35</v>
          </cell>
        </row>
        <row r="64">
          <cell r="A64">
            <v>61</v>
          </cell>
          <cell r="B64" t="str">
            <v>Commercial Small Transp</v>
          </cell>
          <cell r="E64">
            <v>10</v>
          </cell>
          <cell r="F64">
            <v>10</v>
          </cell>
          <cell r="G64">
            <v>10</v>
          </cell>
          <cell r="H64">
            <v>10</v>
          </cell>
          <cell r="I64">
            <v>10</v>
          </cell>
          <cell r="J64">
            <v>10</v>
          </cell>
          <cell r="K64">
            <v>11</v>
          </cell>
          <cell r="L64">
            <v>11</v>
          </cell>
          <cell r="M64">
            <v>11</v>
          </cell>
          <cell r="N64">
            <v>11</v>
          </cell>
          <cell r="O64">
            <v>11</v>
          </cell>
          <cell r="T64">
            <v>61</v>
          </cell>
          <cell r="U64" t="str">
            <v>Commercial Small Transp</v>
          </cell>
          <cell r="X64">
            <v>9</v>
          </cell>
          <cell r="Y64">
            <v>9</v>
          </cell>
          <cell r="Z64">
            <v>9</v>
          </cell>
          <cell r="AA64">
            <v>9</v>
          </cell>
          <cell r="AB64">
            <v>9</v>
          </cell>
          <cell r="AC64">
            <v>9</v>
          </cell>
          <cell r="AD64">
            <v>9</v>
          </cell>
          <cell r="AE64">
            <v>9</v>
          </cell>
          <cell r="AF64">
            <v>9</v>
          </cell>
          <cell r="AG64">
            <v>10</v>
          </cell>
          <cell r="AH64">
            <v>9</v>
          </cell>
          <cell r="AI64">
            <v>10</v>
          </cell>
        </row>
        <row r="65">
          <cell r="A65">
            <v>62</v>
          </cell>
          <cell r="B65" t="str">
            <v>Other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T65">
            <v>62</v>
          </cell>
          <cell r="U65" t="str">
            <v>Other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A66">
            <v>63</v>
          </cell>
          <cell r="E66">
            <v>604</v>
          </cell>
          <cell r="F66">
            <v>609</v>
          </cell>
          <cell r="G66">
            <v>607</v>
          </cell>
          <cell r="H66">
            <v>607</v>
          </cell>
          <cell r="I66">
            <v>595</v>
          </cell>
          <cell r="J66">
            <v>593</v>
          </cell>
          <cell r="K66">
            <v>599</v>
          </cell>
          <cell r="L66">
            <v>592</v>
          </cell>
          <cell r="M66">
            <v>594</v>
          </cell>
          <cell r="N66">
            <v>590</v>
          </cell>
          <cell r="O66">
            <v>586</v>
          </cell>
          <cell r="P66">
            <v>0</v>
          </cell>
          <cell r="T66">
            <v>63</v>
          </cell>
          <cell r="X66">
            <v>607</v>
          </cell>
          <cell r="Y66">
            <v>605</v>
          </cell>
          <cell r="Z66">
            <v>605</v>
          </cell>
          <cell r="AA66">
            <v>598</v>
          </cell>
          <cell r="AB66">
            <v>591</v>
          </cell>
          <cell r="AC66">
            <v>587</v>
          </cell>
          <cell r="AD66">
            <v>591</v>
          </cell>
          <cell r="AE66">
            <v>591</v>
          </cell>
          <cell r="AF66">
            <v>593</v>
          </cell>
          <cell r="AG66">
            <v>598</v>
          </cell>
          <cell r="AH66">
            <v>596</v>
          </cell>
          <cell r="AI66">
            <v>599</v>
          </cell>
        </row>
        <row r="67">
          <cell r="A67">
            <v>64</v>
          </cell>
          <cell r="T67">
            <v>64</v>
          </cell>
        </row>
        <row r="68">
          <cell r="A68">
            <v>65</v>
          </cell>
          <cell r="B68" t="str">
            <v>Fort Meade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  <cell r="K68">
            <v>7</v>
          </cell>
          <cell r="L68">
            <v>8</v>
          </cell>
          <cell r="M68">
            <v>9</v>
          </cell>
          <cell r="N68">
            <v>10</v>
          </cell>
          <cell r="O68">
            <v>11</v>
          </cell>
          <cell r="P68">
            <v>12</v>
          </cell>
          <cell r="T68">
            <v>65</v>
          </cell>
          <cell r="U68" t="str">
            <v>Fort Meade</v>
          </cell>
          <cell r="X68">
            <v>1</v>
          </cell>
          <cell r="Y68">
            <v>2</v>
          </cell>
          <cell r="Z68">
            <v>3</v>
          </cell>
          <cell r="AA68">
            <v>4</v>
          </cell>
          <cell r="AB68">
            <v>5</v>
          </cell>
          <cell r="AC68">
            <v>6</v>
          </cell>
          <cell r="AD68">
            <v>7</v>
          </cell>
          <cell r="AE68">
            <v>8</v>
          </cell>
          <cell r="AF68">
            <v>9</v>
          </cell>
          <cell r="AG68">
            <v>10</v>
          </cell>
          <cell r="AH68">
            <v>11</v>
          </cell>
          <cell r="AI68">
            <v>12</v>
          </cell>
        </row>
        <row r="69">
          <cell r="A69">
            <v>66</v>
          </cell>
          <cell r="B69" t="str">
            <v>Residential</v>
          </cell>
          <cell r="D69">
            <v>5901.8901548349431</v>
          </cell>
          <cell r="E69">
            <v>948.99503359625965</v>
          </cell>
          <cell r="F69">
            <v>771.00594020839651</v>
          </cell>
          <cell r="G69">
            <v>592.09660142175562</v>
          </cell>
          <cell r="H69">
            <v>629.60268770084781</v>
          </cell>
          <cell r="I69">
            <v>471.73824130879257</v>
          </cell>
          <cell r="J69">
            <v>415.22251436361859</v>
          </cell>
          <cell r="K69">
            <v>434.82617586912045</v>
          </cell>
          <cell r="L69">
            <v>356.55370532671185</v>
          </cell>
          <cell r="M69">
            <v>428.56266432953635</v>
          </cell>
          <cell r="N69">
            <v>389.09728308501411</v>
          </cell>
          <cell r="O69">
            <v>464.18930762488986</v>
          </cell>
          <cell r="T69">
            <v>66</v>
          </cell>
          <cell r="U69" t="str">
            <v>Residential</v>
          </cell>
          <cell r="X69">
            <v>793.83094751192687</v>
          </cell>
          <cell r="Y69">
            <v>735.16992891225698</v>
          </cell>
          <cell r="Z69">
            <v>661.97682344921304</v>
          </cell>
          <cell r="AA69">
            <v>585.17382413087671</v>
          </cell>
          <cell r="AB69">
            <v>518.37958905443645</v>
          </cell>
          <cell r="AC69">
            <v>445.59645535105619</v>
          </cell>
          <cell r="AD69">
            <v>457.68916155419168</v>
          </cell>
          <cell r="AE69">
            <v>399.73220371993472</v>
          </cell>
          <cell r="AF69">
            <v>453.04021813224244</v>
          </cell>
          <cell r="AG69">
            <v>454.62946732885342</v>
          </cell>
          <cell r="AH69">
            <v>507.21978771058758</v>
          </cell>
          <cell r="AI69">
            <v>771.66033693640816</v>
          </cell>
        </row>
        <row r="70">
          <cell r="A70">
            <v>67</v>
          </cell>
          <cell r="B70" t="str">
            <v>Commercial</v>
          </cell>
          <cell r="D70">
            <v>18486.886746518652</v>
          </cell>
          <cell r="E70">
            <v>2443.982861038076</v>
          </cell>
          <cell r="F70">
            <v>2320.7907293796861</v>
          </cell>
          <cell r="G70">
            <v>1832.4374330509299</v>
          </cell>
          <cell r="H70">
            <v>1946.6014217547956</v>
          </cell>
          <cell r="I70">
            <v>1733.0499561787904</v>
          </cell>
          <cell r="J70">
            <v>1504.014022787029</v>
          </cell>
          <cell r="K70">
            <v>628.87233420975747</v>
          </cell>
          <cell r="L70">
            <v>1639.5841854124058</v>
          </cell>
          <cell r="M70">
            <v>1099.6951991430519</v>
          </cell>
          <cell r="N70">
            <v>1432.0615444541825</v>
          </cell>
          <cell r="O70">
            <v>1905.7970591099427</v>
          </cell>
          <cell r="T70">
            <v>67</v>
          </cell>
          <cell r="U70" t="str">
            <v>Commercial</v>
          </cell>
          <cell r="X70">
            <v>2268.6804946927646</v>
          </cell>
          <cell r="Y70">
            <v>2563.7442788976532</v>
          </cell>
          <cell r="Z70">
            <v>2303.813419028143</v>
          </cell>
          <cell r="AA70">
            <v>1524.4132826954913</v>
          </cell>
          <cell r="AB70">
            <v>585.64611938845064</v>
          </cell>
          <cell r="AC70">
            <v>678.76229428376666</v>
          </cell>
          <cell r="AD70">
            <v>778.47015288733076</v>
          </cell>
          <cell r="AE70">
            <v>575.34618755477641</v>
          </cell>
          <cell r="AF70">
            <v>682.87954036420297</v>
          </cell>
          <cell r="AG70">
            <v>1060.0029214139645</v>
          </cell>
          <cell r="AH70">
            <v>1477.9296913039243</v>
          </cell>
          <cell r="AI70">
            <v>2376.9549128444833</v>
          </cell>
        </row>
        <row r="71">
          <cell r="A71">
            <v>68</v>
          </cell>
          <cell r="B71" t="str">
            <v>Commercial Small Transp</v>
          </cell>
          <cell r="D71">
            <v>2960.7060083747201</v>
          </cell>
          <cell r="E71">
            <v>256.88382510468398</v>
          </cell>
          <cell r="F71">
            <v>272.45593533937097</v>
          </cell>
          <cell r="G71">
            <v>264.54377251923262</v>
          </cell>
          <cell r="H71">
            <v>286.73678060181129</v>
          </cell>
          <cell r="I71">
            <v>273.88548057259715</v>
          </cell>
          <cell r="J71">
            <v>242.56305385139743</v>
          </cell>
          <cell r="K71">
            <v>230.37394098743792</v>
          </cell>
          <cell r="L71">
            <v>225.42214431784984</v>
          </cell>
          <cell r="M71">
            <v>323.53880611549323</v>
          </cell>
          <cell r="N71">
            <v>292.19203427792388</v>
          </cell>
          <cell r="O71">
            <v>292.11023468692179</v>
          </cell>
          <cell r="T71">
            <v>68</v>
          </cell>
          <cell r="U71" t="str">
            <v>Commercial Small Transp</v>
          </cell>
          <cell r="X71">
            <v>223.62157951115006</v>
          </cell>
          <cell r="Y71">
            <v>218.88791508423412</v>
          </cell>
          <cell r="Z71">
            <v>212.39069042750023</v>
          </cell>
          <cell r="AA71">
            <v>162.33323595286785</v>
          </cell>
          <cell r="AB71">
            <v>131.36624793066511</v>
          </cell>
          <cell r="AC71">
            <v>138.61524978089395</v>
          </cell>
          <cell r="AD71">
            <v>149.62605901256208</v>
          </cell>
          <cell r="AE71">
            <v>133.27198364008183</v>
          </cell>
          <cell r="AF71">
            <v>181.55419222903888</v>
          </cell>
          <cell r="AG71">
            <v>184.50968935631514</v>
          </cell>
          <cell r="AH71">
            <v>204.30908559742912</v>
          </cell>
          <cell r="AI71">
            <v>236.7708637647288</v>
          </cell>
        </row>
        <row r="72">
          <cell r="A72">
            <v>69</v>
          </cell>
          <cell r="D72">
            <v>27349.482909728315</v>
          </cell>
          <cell r="E72">
            <v>3649.8617197390199</v>
          </cell>
          <cell r="F72">
            <v>3364.2526049274538</v>
          </cell>
          <cell r="G72">
            <v>2689.0778069919184</v>
          </cell>
          <cell r="H72">
            <v>2862.9408900574549</v>
          </cell>
          <cell r="I72">
            <v>2478.67367806018</v>
          </cell>
          <cell r="J72">
            <v>2161.799591002045</v>
          </cell>
          <cell r="K72">
            <v>1294.0724510663158</v>
          </cell>
          <cell r="L72">
            <v>2221.5600350569675</v>
          </cell>
          <cell r="M72">
            <v>1851.7966695880814</v>
          </cell>
          <cell r="N72">
            <v>2113.3508618171204</v>
          </cell>
          <cell r="O72">
            <v>2662.0966014217547</v>
          </cell>
          <cell r="P72">
            <v>0</v>
          </cell>
          <cell r="T72">
            <v>69</v>
          </cell>
          <cell r="X72">
            <v>3286.1330217158416</v>
          </cell>
          <cell r="Y72">
            <v>3517.8021228941443</v>
          </cell>
          <cell r="Z72">
            <v>3178.1809329048565</v>
          </cell>
          <cell r="AA72">
            <v>2271.9203427792354</v>
          </cell>
          <cell r="AB72">
            <v>1235.3919563735524</v>
          </cell>
          <cell r="AC72">
            <v>1262.9739994157167</v>
          </cell>
          <cell r="AD72">
            <v>1385.7853734540845</v>
          </cell>
          <cell r="AE72">
            <v>1108.3503749147928</v>
          </cell>
          <cell r="AF72">
            <v>1317.4739507254842</v>
          </cell>
          <cell r="AG72">
            <v>1699.1420780991332</v>
          </cell>
          <cell r="AH72">
            <v>2189.4585646119408</v>
          </cell>
          <cell r="AI72">
            <v>3385.3861135456204</v>
          </cell>
        </row>
        <row r="73">
          <cell r="A73">
            <v>70</v>
          </cell>
          <cell r="T73">
            <v>70</v>
          </cell>
        </row>
        <row r="74">
          <cell r="A74">
            <v>71</v>
          </cell>
          <cell r="T74">
            <v>71</v>
          </cell>
        </row>
        <row r="75">
          <cell r="A75">
            <v>72</v>
          </cell>
          <cell r="B75" t="str">
            <v>BUDGET</v>
          </cell>
          <cell r="C75" t="str">
            <v>Average</v>
          </cell>
          <cell r="D75" t="str">
            <v>Total</v>
          </cell>
          <cell r="E75">
            <v>1</v>
          </cell>
          <cell r="F75">
            <v>2</v>
          </cell>
          <cell r="G75">
            <v>3</v>
          </cell>
          <cell r="H75">
            <v>4</v>
          </cell>
          <cell r="I75">
            <v>5</v>
          </cell>
          <cell r="J75">
            <v>6</v>
          </cell>
          <cell r="K75">
            <v>7</v>
          </cell>
          <cell r="L75">
            <v>8</v>
          </cell>
          <cell r="M75">
            <v>9</v>
          </cell>
          <cell r="N75">
            <v>10</v>
          </cell>
          <cell r="O75">
            <v>11</v>
          </cell>
          <cell r="P75">
            <v>12</v>
          </cell>
          <cell r="T75">
            <v>72</v>
          </cell>
          <cell r="U75" t="str">
            <v>BUDGET</v>
          </cell>
          <cell r="X75">
            <v>1</v>
          </cell>
          <cell r="Y75">
            <v>2</v>
          </cell>
          <cell r="Z75">
            <v>3</v>
          </cell>
          <cell r="AA75">
            <v>4</v>
          </cell>
          <cell r="AB75">
            <v>5</v>
          </cell>
          <cell r="AC75">
            <v>6</v>
          </cell>
          <cell r="AD75">
            <v>7</v>
          </cell>
          <cell r="AE75">
            <v>8</v>
          </cell>
          <cell r="AF75">
            <v>9</v>
          </cell>
          <cell r="AG75">
            <v>10</v>
          </cell>
          <cell r="AH75">
            <v>11</v>
          </cell>
          <cell r="AI75">
            <v>12</v>
          </cell>
        </row>
        <row r="76">
          <cell r="A76">
            <v>73</v>
          </cell>
          <cell r="B76" t="str">
            <v xml:space="preserve">Customers </v>
          </cell>
          <cell r="D76">
            <v>823886</v>
          </cell>
          <cell r="E76">
            <v>67816</v>
          </cell>
          <cell r="F76">
            <v>67878</v>
          </cell>
          <cell r="G76">
            <v>68119</v>
          </cell>
          <cell r="H76">
            <v>68451</v>
          </cell>
          <cell r="I76">
            <v>68462</v>
          </cell>
          <cell r="J76">
            <v>68619</v>
          </cell>
          <cell r="K76">
            <v>68934</v>
          </cell>
          <cell r="L76">
            <v>68786</v>
          </cell>
          <cell r="M76">
            <v>68933</v>
          </cell>
          <cell r="N76">
            <v>68999</v>
          </cell>
          <cell r="O76">
            <v>69298</v>
          </cell>
          <cell r="P76">
            <v>69591</v>
          </cell>
          <cell r="T76">
            <v>73</v>
          </cell>
          <cell r="U76" t="str">
            <v xml:space="preserve">Customers </v>
          </cell>
          <cell r="X76">
            <v>64548.014876268098</v>
          </cell>
          <cell r="Y76">
            <v>64587.534615693323</v>
          </cell>
          <cell r="Z76">
            <v>64832.050975759863</v>
          </cell>
          <cell r="AA76">
            <v>65079.544649875301</v>
          </cell>
          <cell r="AB76">
            <v>64945.114949669442</v>
          </cell>
          <cell r="AC76">
            <v>64939.582536389986</v>
          </cell>
          <cell r="AD76">
            <v>65022.206887203938</v>
          </cell>
          <cell r="AE76">
            <v>65136.648364478926</v>
          </cell>
          <cell r="AF76">
            <v>65238.326877861786</v>
          </cell>
          <cell r="AG76">
            <v>65188.742223675326</v>
          </cell>
          <cell r="AH76">
            <v>65409.475011433686</v>
          </cell>
          <cell r="AI76">
            <v>65637.864203804871</v>
          </cell>
        </row>
        <row r="77">
          <cell r="A77">
            <v>74</v>
          </cell>
          <cell r="B77" t="str">
            <v>Volume (mcfs)</v>
          </cell>
          <cell r="D77">
            <v>10524054.180643028</v>
          </cell>
          <cell r="E77">
            <v>1088420.5515327286</v>
          </cell>
          <cell r="F77">
            <v>931034.60942510539</v>
          </cell>
          <cell r="G77">
            <v>943466.48989208799</v>
          </cell>
          <cell r="H77">
            <v>882689.85754991916</v>
          </cell>
          <cell r="I77">
            <v>823550.6785419014</v>
          </cell>
          <cell r="J77">
            <v>809008.14941672783</v>
          </cell>
          <cell r="K77">
            <v>755197.37908968492</v>
          </cell>
          <cell r="L77">
            <v>779422.45313614525</v>
          </cell>
          <cell r="M77">
            <v>751757.67174992862</v>
          </cell>
          <cell r="N77">
            <v>812867.88803126523</v>
          </cell>
          <cell r="O77">
            <v>903848.61461465608</v>
          </cell>
          <cell r="P77">
            <v>1042789.8376628759</v>
          </cell>
          <cell r="T77">
            <v>74</v>
          </cell>
          <cell r="U77" t="str">
            <v>Volume (mcfs)</v>
          </cell>
          <cell r="X77">
            <v>1060816.574933741</v>
          </cell>
          <cell r="Y77">
            <v>975925.11585821735</v>
          </cell>
          <cell r="Z77">
            <v>957650.73263229453</v>
          </cell>
          <cell r="AA77">
            <v>910605.92119554651</v>
          </cell>
          <cell r="AB77">
            <v>843311.1532706836</v>
          </cell>
          <cell r="AC77">
            <v>816202.62078960519</v>
          </cell>
          <cell r="AD77">
            <v>763606.03640170919</v>
          </cell>
          <cell r="AE77">
            <v>747360.31051826302</v>
          </cell>
          <cell r="AF77">
            <v>742100.65559104318</v>
          </cell>
          <cell r="AG77">
            <v>769742.13658438425</v>
          </cell>
          <cell r="AH77">
            <v>865350.14913226839</v>
          </cell>
          <cell r="AI77">
            <v>954227.16609550244</v>
          </cell>
        </row>
        <row r="78">
          <cell r="A78">
            <v>75</v>
          </cell>
          <cell r="B78" t="str">
            <v>Volume (dts) (mcfs*1.0269)</v>
          </cell>
          <cell r="D78">
            <v>10807150</v>
          </cell>
          <cell r="E78">
            <v>1117699</v>
          </cell>
          <cell r="F78">
            <v>956079</v>
          </cell>
          <cell r="G78">
            <v>968846</v>
          </cell>
          <cell r="H78">
            <v>906434</v>
          </cell>
          <cell r="I78">
            <v>845704</v>
          </cell>
          <cell r="J78">
            <v>830770</v>
          </cell>
          <cell r="K78">
            <v>775512</v>
          </cell>
          <cell r="L78">
            <v>800389</v>
          </cell>
          <cell r="M78">
            <v>771980</v>
          </cell>
          <cell r="N78">
            <v>834734</v>
          </cell>
          <cell r="O78">
            <v>928162</v>
          </cell>
          <cell r="P78">
            <v>1070841</v>
          </cell>
          <cell r="T78">
            <v>75</v>
          </cell>
          <cell r="U78" t="str">
            <v>Volume (dts) (mcfs*1.0269)</v>
          </cell>
          <cell r="X78">
            <v>1089353</v>
          </cell>
          <cell r="Y78">
            <v>1002178</v>
          </cell>
          <cell r="Z78">
            <v>983412</v>
          </cell>
          <cell r="AA78">
            <v>935101</v>
          </cell>
          <cell r="AB78">
            <v>865996</v>
          </cell>
          <cell r="AC78">
            <v>838158</v>
          </cell>
          <cell r="AD78">
            <v>784147</v>
          </cell>
          <cell r="AE78">
            <v>767464</v>
          </cell>
          <cell r="AF78">
            <v>762063</v>
          </cell>
          <cell r="AG78">
            <v>790448</v>
          </cell>
          <cell r="AH78">
            <v>888628</v>
          </cell>
          <cell r="AI78">
            <v>979896</v>
          </cell>
        </row>
        <row r="79">
          <cell r="A79">
            <v>76</v>
          </cell>
          <cell r="T79">
            <v>76</v>
          </cell>
        </row>
        <row r="80">
          <cell r="A80">
            <v>77</v>
          </cell>
          <cell r="B80" t="str">
            <v>Volume - 2021 - actual in Dts (mcfs*1.0269)</v>
          </cell>
          <cell r="D80" t="str">
            <v>Total</v>
          </cell>
          <cell r="E80">
            <v>1</v>
          </cell>
          <cell r="F80">
            <v>2</v>
          </cell>
          <cell r="G80">
            <v>3</v>
          </cell>
          <cell r="H80">
            <v>4</v>
          </cell>
          <cell r="I80">
            <v>5</v>
          </cell>
          <cell r="J80">
            <v>6</v>
          </cell>
          <cell r="K80">
            <v>7</v>
          </cell>
          <cell r="L80">
            <v>8</v>
          </cell>
          <cell r="M80">
            <v>9</v>
          </cell>
          <cell r="N80">
            <v>10</v>
          </cell>
          <cell r="O80">
            <v>11</v>
          </cell>
          <cell r="P80">
            <v>12</v>
          </cell>
          <cell r="T80">
            <v>77</v>
          </cell>
          <cell r="U80" t="str">
            <v>Volume - 2020 - actual in Dts (mcfs*1.0269)</v>
          </cell>
          <cell r="W80" t="str">
            <v>Total</v>
          </cell>
          <cell r="X80">
            <v>1</v>
          </cell>
          <cell r="Y80">
            <v>2</v>
          </cell>
          <cell r="Z80">
            <v>3</v>
          </cell>
          <cell r="AA80">
            <v>4</v>
          </cell>
          <cell r="AB80">
            <v>5</v>
          </cell>
          <cell r="AC80">
            <v>6</v>
          </cell>
          <cell r="AD80">
            <v>7</v>
          </cell>
          <cell r="AE80">
            <v>8</v>
          </cell>
          <cell r="AF80">
            <v>9</v>
          </cell>
          <cell r="AG80">
            <v>10</v>
          </cell>
          <cell r="AH80">
            <v>11</v>
          </cell>
          <cell r="AI80">
            <v>12</v>
          </cell>
        </row>
        <row r="81">
          <cell r="A81">
            <v>78</v>
          </cell>
          <cell r="B81" t="str">
            <v>Residential</v>
          </cell>
          <cell r="D81">
            <v>1453473</v>
          </cell>
          <cell r="E81">
            <v>252733</v>
          </cell>
          <cell r="F81">
            <v>195040</v>
          </cell>
          <cell r="G81">
            <v>167342</v>
          </cell>
          <cell r="H81">
            <v>159786</v>
          </cell>
          <cell r="I81">
            <v>121371</v>
          </cell>
          <cell r="J81">
            <v>96770</v>
          </cell>
          <cell r="K81">
            <v>89238</v>
          </cell>
          <cell r="L81">
            <v>76641</v>
          </cell>
          <cell r="M81">
            <v>83951</v>
          </cell>
          <cell r="N81">
            <v>87412</v>
          </cell>
          <cell r="O81">
            <v>123189</v>
          </cell>
          <cell r="P81">
            <v>0</v>
          </cell>
          <cell r="T81">
            <v>78</v>
          </cell>
          <cell r="U81" t="str">
            <v>Residential</v>
          </cell>
          <cell r="W81">
            <v>1533316</v>
          </cell>
          <cell r="X81">
            <v>192037</v>
          </cell>
          <cell r="Y81">
            <v>170345</v>
          </cell>
          <cell r="Z81">
            <v>154551</v>
          </cell>
          <cell r="AA81">
            <v>142418</v>
          </cell>
          <cell r="AB81">
            <v>132840</v>
          </cell>
          <cell r="AC81">
            <v>101093</v>
          </cell>
          <cell r="AD81">
            <v>87095</v>
          </cell>
          <cell r="AE81">
            <v>78224</v>
          </cell>
          <cell r="AF81">
            <v>77936</v>
          </cell>
          <cell r="AG81">
            <v>84842</v>
          </cell>
          <cell r="AH81">
            <v>119876</v>
          </cell>
          <cell r="AI81">
            <v>192059</v>
          </cell>
        </row>
        <row r="82">
          <cell r="A82">
            <v>79</v>
          </cell>
          <cell r="B82" t="str">
            <v>Commercial</v>
          </cell>
          <cell r="D82">
            <v>1476128</v>
          </cell>
          <cell r="E82">
            <v>183313</v>
          </cell>
          <cell r="F82">
            <v>162884</v>
          </cell>
          <cell r="G82">
            <v>147893</v>
          </cell>
          <cell r="H82">
            <v>159382</v>
          </cell>
          <cell r="I82">
            <v>132726</v>
          </cell>
          <cell r="J82">
            <v>117018</v>
          </cell>
          <cell r="K82">
            <v>120281</v>
          </cell>
          <cell r="L82">
            <v>105351</v>
          </cell>
          <cell r="M82">
            <v>108644</v>
          </cell>
          <cell r="N82">
            <v>112452</v>
          </cell>
          <cell r="O82">
            <v>126184</v>
          </cell>
          <cell r="P82">
            <v>0</v>
          </cell>
          <cell r="T82">
            <v>79</v>
          </cell>
          <cell r="U82" t="str">
            <v>Commercial</v>
          </cell>
          <cell r="W82">
            <v>1497452</v>
          </cell>
          <cell r="X82">
            <v>188988</v>
          </cell>
          <cell r="Y82">
            <v>175917</v>
          </cell>
          <cell r="Z82">
            <v>154678</v>
          </cell>
          <cell r="AA82">
            <v>102840</v>
          </cell>
          <cell r="AB82">
            <v>98142</v>
          </cell>
          <cell r="AC82">
            <v>96012</v>
          </cell>
          <cell r="AD82">
            <v>103916</v>
          </cell>
          <cell r="AE82">
            <v>101665</v>
          </cell>
          <cell r="AF82">
            <v>96923</v>
          </cell>
          <cell r="AG82">
            <v>104880</v>
          </cell>
          <cell r="AH82">
            <v>123834</v>
          </cell>
          <cell r="AI82">
            <v>149657</v>
          </cell>
        </row>
        <row r="83">
          <cell r="A83">
            <v>80</v>
          </cell>
          <cell r="B83" t="str">
            <v xml:space="preserve">Industrial </v>
          </cell>
          <cell r="D83">
            <v>4509493</v>
          </cell>
          <cell r="E83">
            <v>460562</v>
          </cell>
          <cell r="F83">
            <v>412049</v>
          </cell>
          <cell r="G83">
            <v>431549</v>
          </cell>
          <cell r="H83">
            <v>420377</v>
          </cell>
          <cell r="I83">
            <v>409638</v>
          </cell>
          <cell r="J83">
            <v>373809</v>
          </cell>
          <cell r="K83">
            <v>394670</v>
          </cell>
          <cell r="L83">
            <v>378137</v>
          </cell>
          <cell r="M83">
            <v>395651</v>
          </cell>
          <cell r="N83">
            <v>407650</v>
          </cell>
          <cell r="O83">
            <v>425401</v>
          </cell>
          <cell r="P83">
            <v>0</v>
          </cell>
          <cell r="T83">
            <v>80</v>
          </cell>
          <cell r="U83" t="str">
            <v xml:space="preserve">Industrial </v>
          </cell>
          <cell r="W83">
            <v>4653692</v>
          </cell>
          <cell r="X83">
            <v>479340</v>
          </cell>
          <cell r="Y83">
            <v>446392</v>
          </cell>
          <cell r="Z83">
            <v>437633</v>
          </cell>
          <cell r="AA83">
            <v>343945</v>
          </cell>
          <cell r="AB83">
            <v>335454</v>
          </cell>
          <cell r="AC83">
            <v>343273</v>
          </cell>
          <cell r="AD83">
            <v>367171</v>
          </cell>
          <cell r="AE83">
            <v>355213</v>
          </cell>
          <cell r="AF83">
            <v>357694</v>
          </cell>
          <cell r="AG83">
            <v>368354</v>
          </cell>
          <cell r="AH83">
            <v>389594</v>
          </cell>
          <cell r="AI83">
            <v>429629</v>
          </cell>
        </row>
        <row r="84">
          <cell r="A84">
            <v>81</v>
          </cell>
          <cell r="B84" t="str">
            <v>Other</v>
          </cell>
          <cell r="D84">
            <v>3026507</v>
          </cell>
          <cell r="E84">
            <v>252065</v>
          </cell>
          <cell r="F84">
            <v>267128</v>
          </cell>
          <cell r="G84">
            <v>258622</v>
          </cell>
          <cell r="H84">
            <v>228392</v>
          </cell>
          <cell r="I84">
            <v>262656</v>
          </cell>
          <cell r="J84">
            <v>268882</v>
          </cell>
          <cell r="K84">
            <v>269947</v>
          </cell>
          <cell r="L84">
            <v>285056</v>
          </cell>
          <cell r="M84">
            <v>271777</v>
          </cell>
          <cell r="N84">
            <v>349850</v>
          </cell>
          <cell r="O84">
            <v>312132</v>
          </cell>
          <cell r="P84">
            <v>0</v>
          </cell>
          <cell r="T84">
            <v>81</v>
          </cell>
          <cell r="U84" t="str">
            <v>Other</v>
          </cell>
          <cell r="W84">
            <v>2974932</v>
          </cell>
          <cell r="X84">
            <v>221252</v>
          </cell>
          <cell r="Y84">
            <v>172060</v>
          </cell>
          <cell r="Z84">
            <v>195501</v>
          </cell>
          <cell r="AA84">
            <v>163770</v>
          </cell>
          <cell r="AB84">
            <v>252380</v>
          </cell>
          <cell r="AC84">
            <v>257197</v>
          </cell>
          <cell r="AD84">
            <v>265803</v>
          </cell>
          <cell r="AE84">
            <v>199197</v>
          </cell>
          <cell r="AF84">
            <v>273191</v>
          </cell>
          <cell r="AG84">
            <v>308934</v>
          </cell>
          <cell r="AH84">
            <v>290188</v>
          </cell>
          <cell r="AI84">
            <v>375459</v>
          </cell>
        </row>
        <row r="85">
          <cell r="A85">
            <v>82</v>
          </cell>
          <cell r="B85" t="str">
            <v>Total Deliveries</v>
          </cell>
          <cell r="D85">
            <v>10465601</v>
          </cell>
          <cell r="E85">
            <v>1148673</v>
          </cell>
          <cell r="F85">
            <v>1037101</v>
          </cell>
          <cell r="G85">
            <v>1005406</v>
          </cell>
          <cell r="H85">
            <v>967937</v>
          </cell>
          <cell r="I85">
            <v>926391</v>
          </cell>
          <cell r="J85">
            <v>856479</v>
          </cell>
          <cell r="K85">
            <v>874136</v>
          </cell>
          <cell r="L85">
            <v>845185</v>
          </cell>
          <cell r="M85">
            <v>860023</v>
          </cell>
          <cell r="N85">
            <v>957364</v>
          </cell>
          <cell r="O85">
            <v>986906</v>
          </cell>
          <cell r="P85">
            <v>0</v>
          </cell>
          <cell r="T85">
            <v>82</v>
          </cell>
          <cell r="U85" t="str">
            <v>Total Deliveries</v>
          </cell>
          <cell r="W85">
            <v>10659392</v>
          </cell>
          <cell r="X85">
            <v>1081617</v>
          </cell>
          <cell r="Y85">
            <v>964714</v>
          </cell>
          <cell r="Z85">
            <v>942363</v>
          </cell>
          <cell r="AA85">
            <v>752973</v>
          </cell>
          <cell r="AB85">
            <v>818816</v>
          </cell>
          <cell r="AC85">
            <v>797575</v>
          </cell>
          <cell r="AD85">
            <v>823985</v>
          </cell>
          <cell r="AE85">
            <v>734299</v>
          </cell>
          <cell r="AF85">
            <v>805744</v>
          </cell>
          <cell r="AG85">
            <v>867010</v>
          </cell>
          <cell r="AH85">
            <v>923492</v>
          </cell>
          <cell r="AI85">
            <v>1146804</v>
          </cell>
        </row>
        <row r="86">
          <cell r="A86">
            <v>83</v>
          </cell>
          <cell r="T86">
            <v>83</v>
          </cell>
        </row>
        <row r="87">
          <cell r="A87">
            <v>84</v>
          </cell>
          <cell r="T87">
            <v>84</v>
          </cell>
        </row>
        <row r="88">
          <cell r="A88">
            <v>85</v>
          </cell>
          <cell r="B88" t="str">
            <v>YTD/CUMULATIVE SECTION</v>
          </cell>
          <cell r="T88">
            <v>85</v>
          </cell>
          <cell r="U88" t="str">
            <v>YTD/CUMULATIVE SECTION</v>
          </cell>
        </row>
        <row r="89">
          <cell r="A89">
            <v>86</v>
          </cell>
          <cell r="B89" t="str">
            <v>Customers- YTD average cumulative - 2019</v>
          </cell>
          <cell r="T89">
            <v>86</v>
          </cell>
          <cell r="U89" t="str">
            <v>Customers - 2020</v>
          </cell>
        </row>
        <row r="90">
          <cell r="A90">
            <v>87</v>
          </cell>
          <cell r="E90">
            <v>1</v>
          </cell>
          <cell r="F90">
            <v>2</v>
          </cell>
          <cell r="G90">
            <v>3</v>
          </cell>
          <cell r="H90">
            <v>4</v>
          </cell>
          <cell r="I90">
            <v>5</v>
          </cell>
          <cell r="J90">
            <v>6</v>
          </cell>
          <cell r="K90">
            <v>7</v>
          </cell>
          <cell r="L90">
            <v>8</v>
          </cell>
          <cell r="M90">
            <v>9</v>
          </cell>
          <cell r="N90">
            <v>10</v>
          </cell>
          <cell r="O90">
            <v>11</v>
          </cell>
          <cell r="P90">
            <v>12</v>
          </cell>
          <cell r="T90">
            <v>87</v>
          </cell>
          <cell r="X90">
            <v>1</v>
          </cell>
          <cell r="Y90">
            <v>2</v>
          </cell>
          <cell r="Z90">
            <v>3</v>
          </cell>
          <cell r="AA90">
            <v>4</v>
          </cell>
          <cell r="AB90">
            <v>5</v>
          </cell>
          <cell r="AC90">
            <v>6</v>
          </cell>
          <cell r="AD90">
            <v>7</v>
          </cell>
          <cell r="AE90">
            <v>8</v>
          </cell>
          <cell r="AF90">
            <v>9</v>
          </cell>
          <cell r="AG90">
            <v>10</v>
          </cell>
          <cell r="AH90">
            <v>11</v>
          </cell>
          <cell r="AI90">
            <v>12</v>
          </cell>
        </row>
        <row r="91">
          <cell r="A91">
            <v>88</v>
          </cell>
          <cell r="B91" t="str">
            <v>Residential</v>
          </cell>
          <cell r="E91">
            <v>61631</v>
          </cell>
          <cell r="F91">
            <v>61743</v>
          </cell>
          <cell r="G91">
            <v>61872</v>
          </cell>
          <cell r="H91">
            <v>62043</v>
          </cell>
          <cell r="I91">
            <v>62159</v>
          </cell>
          <cell r="J91">
            <v>62299</v>
          </cell>
          <cell r="K91">
            <v>62426</v>
          </cell>
          <cell r="L91">
            <v>62536</v>
          </cell>
          <cell r="M91">
            <v>62640</v>
          </cell>
          <cell r="N91">
            <v>62756</v>
          </cell>
          <cell r="O91">
            <v>62882</v>
          </cell>
          <cell r="P91">
            <v>57642</v>
          </cell>
          <cell r="T91">
            <v>88</v>
          </cell>
          <cell r="U91" t="str">
            <v>Residential</v>
          </cell>
          <cell r="X91">
            <v>58765</v>
          </cell>
          <cell r="Y91">
            <v>58841</v>
          </cell>
          <cell r="Z91">
            <v>58937</v>
          </cell>
          <cell r="AA91">
            <v>59078</v>
          </cell>
          <cell r="AB91">
            <v>59175</v>
          </cell>
          <cell r="AC91">
            <v>59280</v>
          </cell>
          <cell r="AD91">
            <v>59413</v>
          </cell>
          <cell r="AE91">
            <v>59526</v>
          </cell>
          <cell r="AF91">
            <v>59638</v>
          </cell>
          <cell r="AG91">
            <v>59761</v>
          </cell>
          <cell r="AH91">
            <v>59891</v>
          </cell>
          <cell r="AI91">
            <v>60016</v>
          </cell>
        </row>
        <row r="92">
          <cell r="A92">
            <v>89</v>
          </cell>
          <cell r="B92" t="str">
            <v>Commercial</v>
          </cell>
          <cell r="E92">
            <v>4109</v>
          </cell>
          <cell r="F92">
            <v>4107</v>
          </cell>
          <cell r="G92">
            <v>4106</v>
          </cell>
          <cell r="H92">
            <v>4104</v>
          </cell>
          <cell r="I92">
            <v>4099</v>
          </cell>
          <cell r="J92">
            <v>4099</v>
          </cell>
          <cell r="K92">
            <v>4098</v>
          </cell>
          <cell r="L92">
            <v>4095</v>
          </cell>
          <cell r="M92">
            <v>4089</v>
          </cell>
          <cell r="N92">
            <v>4083</v>
          </cell>
          <cell r="O92">
            <v>4079</v>
          </cell>
          <cell r="P92">
            <v>3739</v>
          </cell>
          <cell r="T92">
            <v>89</v>
          </cell>
          <cell r="U92" t="str">
            <v>Commercial</v>
          </cell>
          <cell r="X92">
            <v>4011</v>
          </cell>
          <cell r="Y92">
            <v>4010</v>
          </cell>
          <cell r="Z92">
            <v>4014</v>
          </cell>
          <cell r="AA92">
            <v>4018</v>
          </cell>
          <cell r="AB92">
            <v>4014</v>
          </cell>
          <cell r="AC92">
            <v>4014</v>
          </cell>
          <cell r="AD92">
            <v>4016</v>
          </cell>
          <cell r="AE92">
            <v>4015</v>
          </cell>
          <cell r="AF92">
            <v>4015</v>
          </cell>
          <cell r="AG92">
            <v>4017</v>
          </cell>
          <cell r="AH92">
            <v>4020</v>
          </cell>
          <cell r="AI92">
            <v>4023</v>
          </cell>
        </row>
        <row r="93">
          <cell r="A93">
            <v>90</v>
          </cell>
          <cell r="B93" t="str">
            <v xml:space="preserve">Industrial </v>
          </cell>
          <cell r="E93">
            <v>2484</v>
          </cell>
          <cell r="F93">
            <v>2482</v>
          </cell>
          <cell r="G93">
            <v>2485</v>
          </cell>
          <cell r="H93">
            <v>2490</v>
          </cell>
          <cell r="I93">
            <v>2494</v>
          </cell>
          <cell r="J93">
            <v>2495</v>
          </cell>
          <cell r="K93">
            <v>2498</v>
          </cell>
          <cell r="L93">
            <v>2502</v>
          </cell>
          <cell r="M93">
            <v>2507</v>
          </cell>
          <cell r="N93">
            <v>2513</v>
          </cell>
          <cell r="O93">
            <v>2519</v>
          </cell>
          <cell r="P93">
            <v>2309</v>
          </cell>
          <cell r="T93">
            <v>90</v>
          </cell>
          <cell r="U93" t="str">
            <v xml:space="preserve">Industrial </v>
          </cell>
          <cell r="X93">
            <v>2469</v>
          </cell>
          <cell r="Y93">
            <v>2474</v>
          </cell>
          <cell r="Z93">
            <v>2474</v>
          </cell>
          <cell r="AA93">
            <v>2478</v>
          </cell>
          <cell r="AB93">
            <v>2481</v>
          </cell>
          <cell r="AC93">
            <v>2484</v>
          </cell>
          <cell r="AD93">
            <v>2486</v>
          </cell>
          <cell r="AE93">
            <v>2487</v>
          </cell>
          <cell r="AF93">
            <v>2487</v>
          </cell>
          <cell r="AG93">
            <v>2489</v>
          </cell>
          <cell r="AH93">
            <v>2489</v>
          </cell>
          <cell r="AI93">
            <v>2490</v>
          </cell>
        </row>
        <row r="94">
          <cell r="A94">
            <v>91</v>
          </cell>
          <cell r="B94" t="str">
            <v>Other</v>
          </cell>
          <cell r="E94">
            <v>6</v>
          </cell>
          <cell r="F94">
            <v>6</v>
          </cell>
          <cell r="G94">
            <v>6</v>
          </cell>
          <cell r="H94">
            <v>6</v>
          </cell>
          <cell r="I94">
            <v>6</v>
          </cell>
          <cell r="J94">
            <v>6</v>
          </cell>
          <cell r="K94">
            <v>6</v>
          </cell>
          <cell r="L94">
            <v>6</v>
          </cell>
          <cell r="M94">
            <v>6</v>
          </cell>
          <cell r="N94">
            <v>6</v>
          </cell>
          <cell r="O94">
            <v>6</v>
          </cell>
          <cell r="P94">
            <v>6</v>
          </cell>
          <cell r="T94">
            <v>91</v>
          </cell>
          <cell r="U94" t="str">
            <v>Other</v>
          </cell>
          <cell r="X94">
            <v>5</v>
          </cell>
          <cell r="Y94">
            <v>5</v>
          </cell>
          <cell r="Z94">
            <v>5</v>
          </cell>
          <cell r="AA94">
            <v>5</v>
          </cell>
          <cell r="AB94">
            <v>5</v>
          </cell>
          <cell r="AC94">
            <v>5</v>
          </cell>
          <cell r="AD94">
            <v>5</v>
          </cell>
          <cell r="AE94">
            <v>5</v>
          </cell>
          <cell r="AF94">
            <v>5</v>
          </cell>
          <cell r="AG94">
            <v>5</v>
          </cell>
          <cell r="AH94">
            <v>5</v>
          </cell>
          <cell r="AI94">
            <v>5</v>
          </cell>
        </row>
        <row r="95">
          <cell r="A95">
            <v>92</v>
          </cell>
          <cell r="B95" t="str">
            <v>Total customers</v>
          </cell>
          <cell r="C95">
            <v>0</v>
          </cell>
          <cell r="D95">
            <v>0</v>
          </cell>
          <cell r="E95">
            <v>68230</v>
          </cell>
          <cell r="F95">
            <v>68338</v>
          </cell>
          <cell r="G95">
            <v>68469</v>
          </cell>
          <cell r="H95">
            <v>68643</v>
          </cell>
          <cell r="I95">
            <v>68758</v>
          </cell>
          <cell r="J95">
            <v>68899</v>
          </cell>
          <cell r="K95">
            <v>69028</v>
          </cell>
          <cell r="L95">
            <v>69139</v>
          </cell>
          <cell r="M95">
            <v>69242</v>
          </cell>
          <cell r="N95">
            <v>69358</v>
          </cell>
          <cell r="O95">
            <v>69486</v>
          </cell>
          <cell r="P95">
            <v>63696</v>
          </cell>
          <cell r="T95">
            <v>92</v>
          </cell>
          <cell r="U95" t="str">
            <v>Total customers</v>
          </cell>
          <cell r="X95">
            <v>65250</v>
          </cell>
          <cell r="Y95">
            <v>65330</v>
          </cell>
          <cell r="Z95">
            <v>65430</v>
          </cell>
          <cell r="AA95">
            <v>65579</v>
          </cell>
          <cell r="AB95">
            <v>65675</v>
          </cell>
          <cell r="AC95">
            <v>65783</v>
          </cell>
          <cell r="AD95">
            <v>65920</v>
          </cell>
          <cell r="AE95">
            <v>66033</v>
          </cell>
          <cell r="AF95">
            <v>66145</v>
          </cell>
          <cell r="AG95">
            <v>66272</v>
          </cell>
          <cell r="AH95">
            <v>66405</v>
          </cell>
          <cell r="AI95">
            <v>66534</v>
          </cell>
        </row>
        <row r="96">
          <cell r="A96">
            <v>93</v>
          </cell>
          <cell r="T96">
            <v>93</v>
          </cell>
        </row>
        <row r="97">
          <cell r="A97">
            <v>94</v>
          </cell>
          <cell r="P97">
            <v>83936</v>
          </cell>
          <cell r="T97">
            <v>94</v>
          </cell>
        </row>
        <row r="98">
          <cell r="A98">
            <v>95</v>
          </cell>
          <cell r="B98" t="str">
            <v>Volume - 2021 - Cumulative total- Mcfs</v>
          </cell>
          <cell r="E98">
            <v>1</v>
          </cell>
          <cell r="F98">
            <v>2</v>
          </cell>
          <cell r="G98">
            <v>3</v>
          </cell>
          <cell r="H98">
            <v>4</v>
          </cell>
          <cell r="I98">
            <v>5</v>
          </cell>
          <cell r="J98">
            <v>6</v>
          </cell>
          <cell r="K98">
            <v>7</v>
          </cell>
          <cell r="L98">
            <v>8</v>
          </cell>
          <cell r="M98">
            <v>9</v>
          </cell>
          <cell r="N98">
            <v>10</v>
          </cell>
          <cell r="O98">
            <v>11</v>
          </cell>
          <cell r="P98">
            <v>12</v>
          </cell>
          <cell r="T98">
            <v>95</v>
          </cell>
          <cell r="U98" t="str">
            <v>Volume - 2020 - Cumulative total- Mcfs</v>
          </cell>
          <cell r="X98">
            <v>1</v>
          </cell>
          <cell r="Y98">
            <v>2</v>
          </cell>
          <cell r="Z98">
            <v>3</v>
          </cell>
          <cell r="AA98">
            <v>4</v>
          </cell>
          <cell r="AB98">
            <v>5</v>
          </cell>
          <cell r="AC98">
            <v>6</v>
          </cell>
          <cell r="AD98">
            <v>7</v>
          </cell>
          <cell r="AE98">
            <v>8</v>
          </cell>
          <cell r="AF98">
            <v>9</v>
          </cell>
          <cell r="AG98">
            <v>10</v>
          </cell>
          <cell r="AH98">
            <v>11</v>
          </cell>
          <cell r="AI98">
            <v>12</v>
          </cell>
        </row>
        <row r="99">
          <cell r="A99">
            <v>96</v>
          </cell>
          <cell r="B99" t="str">
            <v>Residential</v>
          </cell>
          <cell r="E99">
            <v>246112.77436946263</v>
          </cell>
          <cell r="F99">
            <v>436043.16096990905</v>
          </cell>
          <cell r="G99">
            <v>599001.13935144688</v>
          </cell>
          <cell r="H99">
            <v>754601.47920927044</v>
          </cell>
          <cell r="I99">
            <v>872793.25055993849</v>
          </cell>
          <cell r="J99">
            <v>967028.50034083531</v>
          </cell>
          <cell r="K99">
            <v>1053928.7418443931</v>
          </cell>
          <cell r="L99">
            <v>1128562.4432758891</v>
          </cell>
          <cell r="M99">
            <v>1210314.4580777234</v>
          </cell>
          <cell r="N99">
            <v>1295436.8692180514</v>
          </cell>
          <cell r="O99">
            <v>1415398.9531600142</v>
          </cell>
          <cell r="P99">
            <v>1415398.9531600142</v>
          </cell>
          <cell r="T99">
            <v>96</v>
          </cell>
          <cell r="U99" t="str">
            <v>Residential</v>
          </cell>
          <cell r="X99">
            <v>187006.33752069631</v>
          </cell>
          <cell r="Y99">
            <v>352888.62304022419</v>
          </cell>
          <cell r="Z99">
            <v>503391.36819554679</v>
          </cell>
          <cell r="AA99">
            <v>642078.31434415211</v>
          </cell>
          <cell r="AB99">
            <v>771438.97166229703</v>
          </cell>
          <cell r="AC99">
            <v>869883.46966600232</v>
          </cell>
          <cell r="AD99">
            <v>954697.05910996255</v>
          </cell>
          <cell r="AE99">
            <v>1030871.6135943364</v>
          </cell>
          <cell r="AF99">
            <v>1106765.5896387442</v>
          </cell>
          <cell r="AG99">
            <v>1189385.4464894652</v>
          </cell>
          <cell r="AH99">
            <v>1306121.4597332124</v>
          </cell>
          <cell r="AI99">
            <v>1493149.0690427856</v>
          </cell>
        </row>
        <row r="100">
          <cell r="A100">
            <v>97</v>
          </cell>
          <cell r="B100" t="str">
            <v>Commercial</v>
          </cell>
          <cell r="E100">
            <v>178511.01373064553</v>
          </cell>
          <cell r="F100">
            <v>337128.60843314813</v>
          </cell>
          <cell r="G100">
            <v>481147.77680397296</v>
          </cell>
          <cell r="H100">
            <v>636354.35095919727</v>
          </cell>
          <cell r="I100">
            <v>765603.59041776182</v>
          </cell>
          <cell r="J100">
            <v>879556.40373940952</v>
          </cell>
          <cell r="K100">
            <v>996686.8682442297</v>
          </cell>
          <cell r="L100">
            <v>1099277.7164280838</v>
          </cell>
          <cell r="M100">
            <v>1205075.9499464401</v>
          </cell>
          <cell r="N100">
            <v>1314582.1073132723</v>
          </cell>
          <cell r="O100">
            <v>1437460.6436848759</v>
          </cell>
          <cell r="P100">
            <v>1437460.6436848759</v>
          </cell>
          <cell r="T100">
            <v>97</v>
          </cell>
          <cell r="U100" t="str">
            <v>Commercial</v>
          </cell>
          <cell r="X100">
            <v>184037.55088129322</v>
          </cell>
          <cell r="Y100">
            <v>355346.26740675827</v>
          </cell>
          <cell r="Z100">
            <v>505972.09173239843</v>
          </cell>
          <cell r="AA100">
            <v>606117.82744181517</v>
          </cell>
          <cell r="AB100">
            <v>701688.9161554192</v>
          </cell>
          <cell r="AC100">
            <v>795185.41143246659</v>
          </cell>
          <cell r="AD100">
            <v>896379.30665108562</v>
          </cell>
          <cell r="AE100">
            <v>995381.30197682336</v>
          </cell>
          <cell r="AF100">
            <v>1089765.4065634431</v>
          </cell>
          <cell r="AG100">
            <v>1191898.1867757326</v>
          </cell>
          <cell r="AH100">
            <v>1312488.3299250167</v>
          </cell>
          <cell r="AI100">
            <v>1458225.1738241306</v>
          </cell>
        </row>
        <row r="101">
          <cell r="A101">
            <v>98</v>
          </cell>
          <cell r="B101" t="str">
            <v xml:space="preserve">Industrial </v>
          </cell>
          <cell r="E101">
            <v>448497.35514655767</v>
          </cell>
          <cell r="F101">
            <v>849752.9584185417</v>
          </cell>
          <cell r="G101">
            <v>1269997.736877983</v>
          </cell>
          <cell r="H101">
            <v>1679363.0012659468</v>
          </cell>
          <cell r="I101">
            <v>2078270.0954328568</v>
          </cell>
          <cell r="J101">
            <v>2442286.6335573094</v>
          </cell>
          <cell r="K101">
            <v>2826618.0338884033</v>
          </cell>
          <cell r="L101">
            <v>3194849.4196124272</v>
          </cell>
          <cell r="M101">
            <v>3580136.2868828522</v>
          </cell>
          <cell r="N101">
            <v>3977107.5869120662</v>
          </cell>
          <cell r="O101">
            <v>4391365.4942058632</v>
          </cell>
          <cell r="P101">
            <v>4391365.4942058632</v>
          </cell>
          <cell r="T101">
            <v>98</v>
          </cell>
          <cell r="U101" t="str">
            <v xml:space="preserve">Industrial </v>
          </cell>
          <cell r="X101">
            <v>466783.26808842132</v>
          </cell>
          <cell r="Y101">
            <v>901482.03525172791</v>
          </cell>
          <cell r="Z101">
            <v>1327651.0935826269</v>
          </cell>
          <cell r="AA101">
            <v>1662585.9966890635</v>
          </cell>
          <cell r="AB101">
            <v>1989252.2816243055</v>
          </cell>
          <cell r="AC101">
            <v>2323533.0908559738</v>
          </cell>
          <cell r="AD101">
            <v>2681085.7610283373</v>
          </cell>
          <cell r="AE101">
            <v>3026993.425844775</v>
          </cell>
          <cell r="AF101">
            <v>3375317.1087739794</v>
          </cell>
          <cell r="AG101">
            <v>3734021.5152400425</v>
          </cell>
          <cell r="AH101">
            <v>4113409.925990846</v>
          </cell>
          <cell r="AI101">
            <v>4531784.5661700256</v>
          </cell>
        </row>
        <row r="102">
          <cell r="A102">
            <v>99</v>
          </cell>
          <cell r="B102" t="str">
            <v>Other</v>
          </cell>
          <cell r="E102">
            <v>245462.17109747784</v>
          </cell>
          <cell r="F102">
            <v>505592.47025026777</v>
          </cell>
          <cell r="G102">
            <v>757439.38494498003</v>
          </cell>
          <cell r="H102">
            <v>979848.78021228942</v>
          </cell>
          <cell r="I102">
            <v>1235624.2267991041</v>
          </cell>
          <cell r="J102">
            <v>1497462.5260492745</v>
          </cell>
          <cell r="K102">
            <v>1760338.3560229819</v>
          </cell>
          <cell r="L102">
            <v>2037927.2342000196</v>
          </cell>
          <cell r="M102">
            <v>2302584.9045671439</v>
          </cell>
          <cell r="N102">
            <v>2643270.9396241116</v>
          </cell>
          <cell r="O102">
            <v>2947226.6509884121</v>
          </cell>
          <cell r="P102">
            <v>2947226.6509884121</v>
          </cell>
          <cell r="T102">
            <v>99</v>
          </cell>
          <cell r="U102" t="str">
            <v>Other</v>
          </cell>
          <cell r="X102">
            <v>215456.01538611352</v>
          </cell>
          <cell r="Y102">
            <v>383008.47044502868</v>
          </cell>
          <cell r="Z102">
            <v>573388.41016652063</v>
          </cell>
          <cell r="AA102">
            <v>732868.43860161654</v>
          </cell>
          <cell r="AB102">
            <v>978637.51747979363</v>
          </cell>
          <cell r="AC102">
            <v>1229096.9442009933</v>
          </cell>
          <cell r="AD102">
            <v>1487936.7227578149</v>
          </cell>
          <cell r="AE102">
            <v>1681915.2287467136</v>
          </cell>
          <cell r="AF102">
            <v>1947950.3723829002</v>
          </cell>
          <cell r="AG102">
            <v>2248792.0239555947</v>
          </cell>
          <cell r="AH102">
            <v>2531378.7694030581</v>
          </cell>
          <cell r="AI102">
            <v>2897002.6248904471</v>
          </cell>
        </row>
        <row r="103">
          <cell r="A103">
            <v>100</v>
          </cell>
          <cell r="B103" t="str">
            <v>Total Deliveries</v>
          </cell>
          <cell r="D103">
            <v>0</v>
          </cell>
          <cell r="E103">
            <v>1118583.3143441437</v>
          </cell>
          <cell r="F103">
            <v>2128517.1980718663</v>
          </cell>
          <cell r="G103">
            <v>3107586.0379783828</v>
          </cell>
          <cell r="H103">
            <v>4050167.6116467044</v>
          </cell>
          <cell r="I103">
            <v>4952291.1632096618</v>
          </cell>
          <cell r="J103">
            <v>5786334.0636868291</v>
          </cell>
          <cell r="K103">
            <v>6637572.0000000075</v>
          </cell>
          <cell r="L103">
            <v>7460616.8135164194</v>
          </cell>
          <cell r="M103">
            <v>8298111.5994741591</v>
          </cell>
          <cell r="N103">
            <v>9230397.5030675028</v>
          </cell>
          <cell r="O103">
            <v>10191451.742039166</v>
          </cell>
          <cell r="P103">
            <v>10191451.742039166</v>
          </cell>
          <cell r="T103">
            <v>100</v>
          </cell>
          <cell r="U103" t="str">
            <v>Total Deliveries</v>
          </cell>
          <cell r="X103">
            <v>1053283.1718765243</v>
          </cell>
          <cell r="Y103">
            <v>1992725.3961437391</v>
          </cell>
          <cell r="Z103">
            <v>2910402.9636770925</v>
          </cell>
          <cell r="AA103">
            <v>3643650.5770766474</v>
          </cell>
          <cell r="AB103">
            <v>4441017.6869218154</v>
          </cell>
          <cell r="AC103">
            <v>5217698.9161554361</v>
          </cell>
          <cell r="AD103">
            <v>6020098.8495471999</v>
          </cell>
          <cell r="AE103">
            <v>6735161.5701626483</v>
          </cell>
          <cell r="AF103">
            <v>7519798.4773590676</v>
          </cell>
          <cell r="AG103">
            <v>8364097.1724608354</v>
          </cell>
          <cell r="AH103">
            <v>9263398.485052133</v>
          </cell>
          <cell r="AI103">
            <v>10380161.433927389</v>
          </cell>
        </row>
        <row r="104">
          <cell r="A104">
            <v>101</v>
          </cell>
          <cell r="T104">
            <v>101</v>
          </cell>
        </row>
        <row r="105">
          <cell r="A105">
            <v>102</v>
          </cell>
          <cell r="T105">
            <v>102</v>
          </cell>
        </row>
        <row r="106">
          <cell r="A106">
            <v>103</v>
          </cell>
          <cell r="B106" t="str">
            <v>Volume - 2021 - cumulative DTS</v>
          </cell>
          <cell r="D106" t="str">
            <v>Total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5</v>
          </cell>
          <cell r="J106">
            <v>6</v>
          </cell>
          <cell r="K106">
            <v>7</v>
          </cell>
          <cell r="L106">
            <v>8</v>
          </cell>
          <cell r="M106">
            <v>9</v>
          </cell>
          <cell r="N106">
            <v>10</v>
          </cell>
          <cell r="O106">
            <v>11</v>
          </cell>
          <cell r="P106">
            <v>12</v>
          </cell>
          <cell r="T106">
            <v>103</v>
          </cell>
          <cell r="U106" t="str">
            <v>Volume - 2020 - cumulative DTS</v>
          </cell>
          <cell r="X106">
            <v>1</v>
          </cell>
          <cell r="Y106">
            <v>2</v>
          </cell>
          <cell r="Z106">
            <v>3</v>
          </cell>
          <cell r="AA106">
            <v>4</v>
          </cell>
          <cell r="AB106">
            <v>5</v>
          </cell>
          <cell r="AC106">
            <v>6</v>
          </cell>
          <cell r="AD106">
            <v>7</v>
          </cell>
          <cell r="AE106">
            <v>8</v>
          </cell>
          <cell r="AF106">
            <v>9</v>
          </cell>
          <cell r="AG106">
            <v>10</v>
          </cell>
          <cell r="AH106">
            <v>11</v>
          </cell>
          <cell r="AI106">
            <v>12</v>
          </cell>
        </row>
        <row r="107">
          <cell r="A107">
            <v>104</v>
          </cell>
          <cell r="B107" t="str">
            <v>Residential</v>
          </cell>
          <cell r="E107">
            <v>252733</v>
          </cell>
          <cell r="F107">
            <v>447773</v>
          </cell>
          <cell r="G107">
            <v>615115</v>
          </cell>
          <cell r="H107">
            <v>774901</v>
          </cell>
          <cell r="I107">
            <v>896272</v>
          </cell>
          <cell r="J107">
            <v>993042</v>
          </cell>
          <cell r="K107">
            <v>1082280</v>
          </cell>
          <cell r="L107">
            <v>1158921</v>
          </cell>
          <cell r="M107">
            <v>1242872</v>
          </cell>
          <cell r="N107">
            <v>1330284</v>
          </cell>
          <cell r="O107">
            <v>1453473</v>
          </cell>
          <cell r="P107">
            <v>1453473</v>
          </cell>
          <cell r="T107">
            <v>104</v>
          </cell>
          <cell r="U107" t="str">
            <v>Residential</v>
          </cell>
          <cell r="X107">
            <v>192037</v>
          </cell>
          <cell r="Y107">
            <v>362382</v>
          </cell>
          <cell r="Z107">
            <v>516933</v>
          </cell>
          <cell r="AA107">
            <v>659351</v>
          </cell>
          <cell r="AB107">
            <v>792191</v>
          </cell>
          <cell r="AC107">
            <v>893284</v>
          </cell>
          <cell r="AD107">
            <v>980379</v>
          </cell>
          <cell r="AE107">
            <v>1058603</v>
          </cell>
          <cell r="AF107">
            <v>1136539</v>
          </cell>
          <cell r="AG107">
            <v>1221381</v>
          </cell>
          <cell r="AH107">
            <v>1341257</v>
          </cell>
          <cell r="AI107">
            <v>1533316</v>
          </cell>
        </row>
        <row r="108">
          <cell r="A108">
            <v>105</v>
          </cell>
          <cell r="B108" t="str">
            <v>Commercial</v>
          </cell>
          <cell r="E108">
            <v>183313</v>
          </cell>
          <cell r="F108">
            <v>346197</v>
          </cell>
          <cell r="G108">
            <v>494090</v>
          </cell>
          <cell r="H108">
            <v>653472</v>
          </cell>
          <cell r="I108">
            <v>786198</v>
          </cell>
          <cell r="J108">
            <v>903216</v>
          </cell>
          <cell r="K108">
            <v>1023497</v>
          </cell>
          <cell r="L108">
            <v>1128848</v>
          </cell>
          <cell r="M108">
            <v>1237492</v>
          </cell>
          <cell r="N108">
            <v>1349944</v>
          </cell>
          <cell r="O108">
            <v>1476128</v>
          </cell>
          <cell r="P108">
            <v>1476128</v>
          </cell>
          <cell r="T108">
            <v>105</v>
          </cell>
          <cell r="U108" t="str">
            <v>Commercial</v>
          </cell>
          <cell r="X108">
            <v>188988</v>
          </cell>
          <cell r="Y108">
            <v>364905</v>
          </cell>
          <cell r="Z108">
            <v>519583</v>
          </cell>
          <cell r="AA108">
            <v>622423</v>
          </cell>
          <cell r="AB108">
            <v>720565</v>
          </cell>
          <cell r="AC108">
            <v>816577</v>
          </cell>
          <cell r="AD108">
            <v>920493</v>
          </cell>
          <cell r="AE108">
            <v>1022158</v>
          </cell>
          <cell r="AF108">
            <v>1119081</v>
          </cell>
          <cell r="AG108">
            <v>1223961</v>
          </cell>
          <cell r="AH108">
            <v>1347795</v>
          </cell>
          <cell r="AI108">
            <v>1497452</v>
          </cell>
        </row>
        <row r="109">
          <cell r="A109">
            <v>106</v>
          </cell>
          <cell r="B109" t="str">
            <v xml:space="preserve">Industrial </v>
          </cell>
          <cell r="E109">
            <v>460562</v>
          </cell>
          <cell r="F109">
            <v>872611</v>
          </cell>
          <cell r="G109">
            <v>1304160</v>
          </cell>
          <cell r="H109">
            <v>1724537</v>
          </cell>
          <cell r="I109">
            <v>2134175</v>
          </cell>
          <cell r="J109">
            <v>2507984</v>
          </cell>
          <cell r="K109">
            <v>2902654</v>
          </cell>
          <cell r="L109">
            <v>3280791</v>
          </cell>
          <cell r="M109">
            <v>3676442</v>
          </cell>
          <cell r="N109">
            <v>4084092</v>
          </cell>
          <cell r="O109">
            <v>4509493</v>
          </cell>
          <cell r="P109">
            <v>4509493</v>
          </cell>
          <cell r="T109">
            <v>106</v>
          </cell>
          <cell r="U109" t="str">
            <v xml:space="preserve">Industrial </v>
          </cell>
          <cell r="X109">
            <v>479340</v>
          </cell>
          <cell r="Y109">
            <v>925732</v>
          </cell>
          <cell r="Z109">
            <v>1363365</v>
          </cell>
          <cell r="AA109">
            <v>1707310</v>
          </cell>
          <cell r="AB109">
            <v>2042764</v>
          </cell>
          <cell r="AC109">
            <v>2386037</v>
          </cell>
          <cell r="AD109">
            <v>2753208</v>
          </cell>
          <cell r="AE109">
            <v>3108421</v>
          </cell>
          <cell r="AF109">
            <v>3466115</v>
          </cell>
          <cell r="AG109">
            <v>3834469</v>
          </cell>
          <cell r="AH109">
            <v>4224063</v>
          </cell>
          <cell r="AI109">
            <v>4653692</v>
          </cell>
        </row>
        <row r="110">
          <cell r="A110">
            <v>107</v>
          </cell>
          <cell r="B110" t="str">
            <v>Other</v>
          </cell>
          <cell r="E110">
            <v>252065</v>
          </cell>
          <cell r="F110">
            <v>519193</v>
          </cell>
          <cell r="G110">
            <v>777815</v>
          </cell>
          <cell r="H110">
            <v>1006207</v>
          </cell>
          <cell r="I110">
            <v>1268863</v>
          </cell>
          <cell r="J110">
            <v>1537745</v>
          </cell>
          <cell r="K110">
            <v>1807692</v>
          </cell>
          <cell r="L110">
            <v>2092748</v>
          </cell>
          <cell r="M110">
            <v>2364525</v>
          </cell>
          <cell r="N110">
            <v>2714375</v>
          </cell>
          <cell r="O110">
            <v>3026507</v>
          </cell>
          <cell r="P110">
            <v>3026507</v>
          </cell>
          <cell r="T110">
            <v>107</v>
          </cell>
          <cell r="U110" t="str">
            <v>Other</v>
          </cell>
          <cell r="X110">
            <v>221252</v>
          </cell>
          <cell r="Y110">
            <v>393312</v>
          </cell>
          <cell r="Z110">
            <v>588813</v>
          </cell>
          <cell r="AA110">
            <v>752583</v>
          </cell>
          <cell r="AB110">
            <v>1004963</v>
          </cell>
          <cell r="AC110">
            <v>1262160</v>
          </cell>
          <cell r="AD110">
            <v>1527963</v>
          </cell>
          <cell r="AE110">
            <v>1727160</v>
          </cell>
          <cell r="AF110">
            <v>2000351</v>
          </cell>
          <cell r="AG110">
            <v>2309285</v>
          </cell>
          <cell r="AH110">
            <v>2599473</v>
          </cell>
          <cell r="AI110">
            <v>2974932</v>
          </cell>
        </row>
        <row r="111">
          <cell r="A111">
            <v>108</v>
          </cell>
          <cell r="B111" t="str">
            <v>Total Deliveries</v>
          </cell>
          <cell r="D111">
            <v>0</v>
          </cell>
          <cell r="E111">
            <v>1148673</v>
          </cell>
          <cell r="F111">
            <v>2185774</v>
          </cell>
          <cell r="G111">
            <v>3191180</v>
          </cell>
          <cell r="H111">
            <v>4159117</v>
          </cell>
          <cell r="I111">
            <v>5085508</v>
          </cell>
          <cell r="J111">
            <v>5941987</v>
          </cell>
          <cell r="K111">
            <v>6816123</v>
          </cell>
          <cell r="L111">
            <v>7661308</v>
          </cell>
          <cell r="M111">
            <v>8521331</v>
          </cell>
          <cell r="N111">
            <v>9478695</v>
          </cell>
          <cell r="O111">
            <v>10465601</v>
          </cell>
          <cell r="P111">
            <v>10465601</v>
          </cell>
          <cell r="T111">
            <v>108</v>
          </cell>
          <cell r="U111" t="str">
            <v>Total Deliveries</v>
          </cell>
          <cell r="W111">
            <v>0</v>
          </cell>
          <cell r="X111">
            <v>1081617</v>
          </cell>
          <cell r="Y111">
            <v>2046331</v>
          </cell>
          <cell r="Z111">
            <v>2988694</v>
          </cell>
          <cell r="AA111">
            <v>3741667</v>
          </cell>
          <cell r="AB111">
            <v>4560483</v>
          </cell>
          <cell r="AC111">
            <v>5358058</v>
          </cell>
          <cell r="AD111">
            <v>6182043</v>
          </cell>
          <cell r="AE111">
            <v>6916342</v>
          </cell>
          <cell r="AF111">
            <v>7722086</v>
          </cell>
          <cell r="AG111">
            <v>8589096</v>
          </cell>
          <cell r="AH111">
            <v>9512588</v>
          </cell>
          <cell r="AI111">
            <v>10659392</v>
          </cell>
        </row>
        <row r="112">
          <cell r="A112">
            <v>109</v>
          </cell>
          <cell r="T112">
            <v>109</v>
          </cell>
        </row>
        <row r="113">
          <cell r="A113">
            <v>110</v>
          </cell>
          <cell r="B113" t="str">
            <v>BUDGET - cumulative/ytd</v>
          </cell>
          <cell r="E113">
            <v>1</v>
          </cell>
          <cell r="F113">
            <v>2</v>
          </cell>
          <cell r="G113">
            <v>3</v>
          </cell>
          <cell r="H113">
            <v>4</v>
          </cell>
          <cell r="I113">
            <v>5</v>
          </cell>
          <cell r="J113">
            <v>6</v>
          </cell>
          <cell r="K113">
            <v>7</v>
          </cell>
          <cell r="L113">
            <v>8</v>
          </cell>
          <cell r="M113">
            <v>9</v>
          </cell>
          <cell r="N113">
            <v>10</v>
          </cell>
          <cell r="O113">
            <v>11</v>
          </cell>
          <cell r="P113">
            <v>12</v>
          </cell>
          <cell r="T113">
            <v>110</v>
          </cell>
          <cell r="U113" t="str">
            <v>BUDGET - cumulative/ytd</v>
          </cell>
          <cell r="X113">
            <v>1</v>
          </cell>
          <cell r="Y113">
            <v>2</v>
          </cell>
          <cell r="Z113">
            <v>3</v>
          </cell>
          <cell r="AA113">
            <v>4</v>
          </cell>
          <cell r="AB113">
            <v>5</v>
          </cell>
          <cell r="AC113">
            <v>6</v>
          </cell>
          <cell r="AD113">
            <v>7</v>
          </cell>
          <cell r="AE113">
            <v>8</v>
          </cell>
          <cell r="AF113">
            <v>9</v>
          </cell>
          <cell r="AG113">
            <v>10</v>
          </cell>
          <cell r="AH113">
            <v>11</v>
          </cell>
          <cell r="AI113">
            <v>12</v>
          </cell>
        </row>
        <row r="114">
          <cell r="A114">
            <v>111</v>
          </cell>
          <cell r="B114" t="str">
            <v xml:space="preserve">Customers </v>
          </cell>
          <cell r="E114">
            <v>67816</v>
          </cell>
          <cell r="F114">
            <v>67847</v>
          </cell>
          <cell r="G114">
            <v>67938</v>
          </cell>
          <cell r="H114">
            <v>68066</v>
          </cell>
          <cell r="I114">
            <v>68145</v>
          </cell>
          <cell r="J114">
            <v>68224</v>
          </cell>
          <cell r="K114">
            <v>68326</v>
          </cell>
          <cell r="L114">
            <v>68383</v>
          </cell>
          <cell r="M114">
            <v>68444</v>
          </cell>
          <cell r="N114">
            <v>68500</v>
          </cell>
          <cell r="O114">
            <v>68572</v>
          </cell>
          <cell r="P114">
            <v>68657</v>
          </cell>
          <cell r="T114">
            <v>111</v>
          </cell>
          <cell r="U114" t="str">
            <v xml:space="preserve">Customers </v>
          </cell>
        </row>
        <row r="115">
          <cell r="A115">
            <v>112</v>
          </cell>
          <cell r="B115" t="str">
            <v>Volume (mcfs)</v>
          </cell>
          <cell r="E115">
            <v>1088420.5515327286</v>
          </cell>
          <cell r="F115">
            <v>2019455.160957834</v>
          </cell>
          <cell r="G115">
            <v>2962921.6508499221</v>
          </cell>
          <cell r="H115">
            <v>3845611.5083998414</v>
          </cell>
          <cell r="I115">
            <v>4669162.1869417429</v>
          </cell>
          <cell r="J115">
            <v>5478170.3363584708</v>
          </cell>
          <cell r="K115">
            <v>6233367.715448156</v>
          </cell>
          <cell r="L115">
            <v>7012790.1685843011</v>
          </cell>
          <cell r="M115">
            <v>7764547.8403342301</v>
          </cell>
          <cell r="N115">
            <v>8577415.7283654958</v>
          </cell>
          <cell r="O115">
            <v>9481264.342980152</v>
          </cell>
          <cell r="P115">
            <v>10524054.180643028</v>
          </cell>
          <cell r="T115">
            <v>112</v>
          </cell>
          <cell r="U115" t="str">
            <v>Volume (mcfs)</v>
          </cell>
        </row>
        <row r="116">
          <cell r="A116">
            <v>113</v>
          </cell>
          <cell r="B116" t="str">
            <v>Volume (dts)</v>
          </cell>
          <cell r="E116">
            <v>1117699</v>
          </cell>
          <cell r="F116">
            <v>2073778</v>
          </cell>
          <cell r="G116">
            <v>3042624</v>
          </cell>
          <cell r="H116">
            <v>3949058</v>
          </cell>
          <cell r="I116">
            <v>4794762</v>
          </cell>
          <cell r="J116">
            <v>5625532</v>
          </cell>
          <cell r="K116">
            <v>6401044</v>
          </cell>
          <cell r="L116">
            <v>7201433</v>
          </cell>
          <cell r="M116">
            <v>7973413</v>
          </cell>
          <cell r="N116">
            <v>8808147</v>
          </cell>
          <cell r="O116">
            <v>9736309</v>
          </cell>
          <cell r="P116">
            <v>10807150</v>
          </cell>
          <cell r="T116">
            <v>113</v>
          </cell>
          <cell r="U116" t="str">
            <v>Volume (dts)</v>
          </cell>
        </row>
      </sheetData>
      <sheetData sheetId="16">
        <row r="4"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E5">
            <v>25232</v>
          </cell>
          <cell r="F5">
            <v>25220</v>
          </cell>
          <cell r="G5">
            <v>25301</v>
          </cell>
          <cell r="H5">
            <v>25425</v>
          </cell>
          <cell r="I5">
            <v>25342</v>
          </cell>
          <cell r="J5">
            <v>25418</v>
          </cell>
          <cell r="K5">
            <v>25419</v>
          </cell>
          <cell r="L5">
            <v>25429</v>
          </cell>
          <cell r="M5">
            <v>25375</v>
          </cell>
          <cell r="T5">
            <v>2</v>
          </cell>
          <cell r="U5" t="str">
            <v>Residential</v>
          </cell>
          <cell r="W5">
            <v>300532</v>
          </cell>
          <cell r="X5">
            <v>24863</v>
          </cell>
          <cell r="Y5">
            <v>24848</v>
          </cell>
          <cell r="Z5">
            <v>24969</v>
          </cell>
          <cell r="AA5">
            <v>24895</v>
          </cell>
          <cell r="AB5">
            <v>24912</v>
          </cell>
          <cell r="AC5">
            <v>25048</v>
          </cell>
          <cell r="AD5">
            <v>25117</v>
          </cell>
          <cell r="AE5">
            <v>25093</v>
          </cell>
          <cell r="AF5">
            <v>25101</v>
          </cell>
          <cell r="AG5">
            <v>25206</v>
          </cell>
          <cell r="AH5">
            <v>25250</v>
          </cell>
          <cell r="AI5">
            <v>25230</v>
          </cell>
        </row>
        <row r="6">
          <cell r="E6">
            <v>7312</v>
          </cell>
          <cell r="F6">
            <v>7324</v>
          </cell>
          <cell r="G6">
            <v>7319</v>
          </cell>
          <cell r="H6">
            <v>7346</v>
          </cell>
          <cell r="I6">
            <v>7327</v>
          </cell>
          <cell r="J6">
            <v>7356</v>
          </cell>
          <cell r="K6">
            <v>7348</v>
          </cell>
          <cell r="L6">
            <v>7367</v>
          </cell>
          <cell r="M6">
            <v>7327</v>
          </cell>
          <cell r="T6">
            <v>3</v>
          </cell>
          <cell r="U6" t="str">
            <v>Commercial</v>
          </cell>
          <cell r="W6">
            <v>87361</v>
          </cell>
          <cell r="X6">
            <v>7282</v>
          </cell>
          <cell r="Y6">
            <v>7252</v>
          </cell>
          <cell r="Z6">
            <v>7247</v>
          </cell>
          <cell r="AA6">
            <v>7267</v>
          </cell>
          <cell r="AB6">
            <v>7254</v>
          </cell>
          <cell r="AC6">
            <v>7267</v>
          </cell>
          <cell r="AD6">
            <v>7280</v>
          </cell>
          <cell r="AE6">
            <v>7272</v>
          </cell>
          <cell r="AF6">
            <v>7295</v>
          </cell>
          <cell r="AG6">
            <v>7315</v>
          </cell>
          <cell r="AH6">
            <v>7307</v>
          </cell>
          <cell r="AI6">
            <v>7323</v>
          </cell>
        </row>
        <row r="7"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T7">
            <v>4</v>
          </cell>
          <cell r="U7" t="str">
            <v xml:space="preserve">Industrial </v>
          </cell>
          <cell r="W7">
            <v>24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T8">
            <v>5</v>
          </cell>
          <cell r="U8" t="str">
            <v>Other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E9">
            <v>32546</v>
          </cell>
          <cell r="F9">
            <v>32546</v>
          </cell>
          <cell r="G9">
            <v>32622</v>
          </cell>
          <cell r="H9">
            <v>32773</v>
          </cell>
          <cell r="I9">
            <v>32671</v>
          </cell>
          <cell r="J9">
            <v>32776</v>
          </cell>
          <cell r="K9">
            <v>32769</v>
          </cell>
          <cell r="L9">
            <v>32798</v>
          </cell>
          <cell r="M9">
            <v>32704</v>
          </cell>
          <cell r="N9">
            <v>0</v>
          </cell>
          <cell r="O9">
            <v>0</v>
          </cell>
          <cell r="P9">
            <v>0</v>
          </cell>
          <cell r="T9">
            <v>6</v>
          </cell>
          <cell r="U9" t="str">
            <v>Total customers</v>
          </cell>
          <cell r="W9">
            <v>387917</v>
          </cell>
          <cell r="X9">
            <v>32147</v>
          </cell>
          <cell r="Y9">
            <v>32102</v>
          </cell>
          <cell r="Z9">
            <v>32218</v>
          </cell>
          <cell r="AA9">
            <v>32164</v>
          </cell>
          <cell r="AB9">
            <v>32168</v>
          </cell>
          <cell r="AC9">
            <v>32317</v>
          </cell>
          <cell r="AD9">
            <v>32399</v>
          </cell>
          <cell r="AE9">
            <v>32367</v>
          </cell>
          <cell r="AF9">
            <v>32398</v>
          </cell>
          <cell r="AG9">
            <v>32523</v>
          </cell>
          <cell r="AH9">
            <v>32559</v>
          </cell>
          <cell r="AI9">
            <v>32555</v>
          </cell>
        </row>
        <row r="10">
          <cell r="T10">
            <v>7</v>
          </cell>
        </row>
        <row r="11"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- 2020</v>
          </cell>
          <cell r="W11" t="str">
            <v>Total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E12">
            <v>29111</v>
          </cell>
          <cell r="F12">
            <v>26739</v>
          </cell>
          <cell r="G12">
            <v>20397</v>
          </cell>
          <cell r="H12">
            <v>19723</v>
          </cell>
          <cell r="I12">
            <v>21036</v>
          </cell>
          <cell r="J12">
            <v>26448</v>
          </cell>
          <cell r="K12">
            <v>31674</v>
          </cell>
          <cell r="L12">
            <v>32031</v>
          </cell>
          <cell r="M12">
            <v>31299</v>
          </cell>
          <cell r="T12">
            <v>9</v>
          </cell>
          <cell r="U12" t="str">
            <v>Residential</v>
          </cell>
          <cell r="W12">
            <v>305020</v>
          </cell>
          <cell r="X12">
            <v>22867</v>
          </cell>
          <cell r="Y12">
            <v>22271</v>
          </cell>
          <cell r="Z12">
            <v>19809</v>
          </cell>
          <cell r="AA12">
            <v>20795</v>
          </cell>
          <cell r="AB12">
            <v>21452</v>
          </cell>
          <cell r="AC12">
            <v>26534</v>
          </cell>
          <cell r="AD12">
            <v>35084</v>
          </cell>
          <cell r="AE12">
            <v>35327</v>
          </cell>
          <cell r="AF12">
            <v>31144</v>
          </cell>
          <cell r="AG12">
            <v>24072</v>
          </cell>
          <cell r="AH12">
            <v>22265</v>
          </cell>
          <cell r="AI12">
            <v>23400</v>
          </cell>
        </row>
        <row r="13">
          <cell r="E13">
            <v>23173</v>
          </cell>
          <cell r="F13">
            <v>21543</v>
          </cell>
          <cell r="G13">
            <v>20059</v>
          </cell>
          <cell r="H13">
            <v>22393</v>
          </cell>
          <cell r="I13">
            <v>23611</v>
          </cell>
          <cell r="J13">
            <v>26405</v>
          </cell>
          <cell r="K13">
            <v>31594</v>
          </cell>
          <cell r="L13">
            <v>31320</v>
          </cell>
          <cell r="M13">
            <v>32775</v>
          </cell>
          <cell r="T13">
            <v>10</v>
          </cell>
          <cell r="U13" t="str">
            <v>Commercial</v>
          </cell>
          <cell r="W13">
            <v>293262</v>
          </cell>
          <cell r="X13">
            <v>22653</v>
          </cell>
          <cell r="Y13">
            <v>21381</v>
          </cell>
          <cell r="Z13">
            <v>20645</v>
          </cell>
          <cell r="AA13">
            <v>21357</v>
          </cell>
          <cell r="AB13">
            <v>21461</v>
          </cell>
          <cell r="AC13">
            <v>24491</v>
          </cell>
          <cell r="AD13">
            <v>30270</v>
          </cell>
          <cell r="AE13">
            <v>29923</v>
          </cell>
          <cell r="AF13">
            <v>28057</v>
          </cell>
          <cell r="AG13">
            <v>25495</v>
          </cell>
          <cell r="AH13">
            <v>24876</v>
          </cell>
          <cell r="AI13">
            <v>22653</v>
          </cell>
        </row>
        <row r="14">
          <cell r="E14">
            <v>560</v>
          </cell>
          <cell r="F14">
            <v>3620</v>
          </cell>
          <cell r="G14">
            <v>920</v>
          </cell>
          <cell r="H14">
            <v>460</v>
          </cell>
          <cell r="I14">
            <v>650</v>
          </cell>
          <cell r="J14">
            <v>630</v>
          </cell>
          <cell r="K14">
            <v>616</v>
          </cell>
          <cell r="L14">
            <v>620</v>
          </cell>
          <cell r="M14">
            <v>615</v>
          </cell>
          <cell r="T14">
            <v>11</v>
          </cell>
          <cell r="U14" t="str">
            <v xml:space="preserve">Industrial </v>
          </cell>
          <cell r="W14">
            <v>14806</v>
          </cell>
          <cell r="X14">
            <v>4880</v>
          </cell>
          <cell r="Y14">
            <v>6650</v>
          </cell>
          <cell r="Z14">
            <v>82</v>
          </cell>
          <cell r="AA14">
            <v>272</v>
          </cell>
          <cell r="AB14">
            <v>124</v>
          </cell>
          <cell r="AC14">
            <v>374</v>
          </cell>
          <cell r="AD14">
            <v>710</v>
          </cell>
          <cell r="AE14">
            <v>368</v>
          </cell>
          <cell r="AF14">
            <v>518</v>
          </cell>
          <cell r="AG14">
            <v>0</v>
          </cell>
          <cell r="AH14">
            <v>268</v>
          </cell>
          <cell r="AI14">
            <v>560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T15">
            <v>12</v>
          </cell>
          <cell r="U15" t="str">
            <v>Other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E16">
            <v>52844</v>
          </cell>
          <cell r="F16">
            <v>51902</v>
          </cell>
          <cell r="G16">
            <v>41376</v>
          </cell>
          <cell r="H16">
            <v>42576</v>
          </cell>
          <cell r="I16">
            <v>45297</v>
          </cell>
          <cell r="J16">
            <v>53483</v>
          </cell>
          <cell r="K16">
            <v>63884</v>
          </cell>
          <cell r="L16">
            <v>63971</v>
          </cell>
          <cell r="M16">
            <v>64689</v>
          </cell>
          <cell r="N16">
            <v>0</v>
          </cell>
          <cell r="O16">
            <v>0</v>
          </cell>
          <cell r="P16">
            <v>0</v>
          </cell>
          <cell r="T16">
            <v>13</v>
          </cell>
          <cell r="U16" t="str">
            <v>Total Deliveries</v>
          </cell>
          <cell r="W16">
            <v>613088</v>
          </cell>
          <cell r="X16">
            <v>50400</v>
          </cell>
          <cell r="Y16">
            <v>50302</v>
          </cell>
          <cell r="Z16">
            <v>40536</v>
          </cell>
          <cell r="AA16">
            <v>42424</v>
          </cell>
          <cell r="AB16">
            <v>43037</v>
          </cell>
          <cell r="AC16">
            <v>51399</v>
          </cell>
          <cell r="AD16">
            <v>66064</v>
          </cell>
          <cell r="AE16">
            <v>65618</v>
          </cell>
          <cell r="AF16">
            <v>59719</v>
          </cell>
          <cell r="AG16">
            <v>49567</v>
          </cell>
          <cell r="AH16">
            <v>47409</v>
          </cell>
          <cell r="AI16">
            <v>46613</v>
          </cell>
        </row>
        <row r="17">
          <cell r="T17">
            <v>14</v>
          </cell>
        </row>
        <row r="18">
          <cell r="T18">
            <v>15</v>
          </cell>
        </row>
        <row r="19"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E20">
            <v>32129</v>
          </cell>
          <cell r="F20">
            <v>32170</v>
          </cell>
          <cell r="G20">
            <v>32212</v>
          </cell>
          <cell r="H20">
            <v>32250</v>
          </cell>
          <cell r="I20">
            <v>32209</v>
          </cell>
          <cell r="J20">
            <v>32317</v>
          </cell>
          <cell r="K20">
            <v>32327</v>
          </cell>
          <cell r="L20">
            <v>32370</v>
          </cell>
          <cell r="M20">
            <v>32381</v>
          </cell>
          <cell r="T20">
            <v>17</v>
          </cell>
        </row>
        <row r="21">
          <cell r="E21">
            <v>49464</v>
          </cell>
          <cell r="F21">
            <v>45521</v>
          </cell>
          <cell r="G21">
            <v>39261</v>
          </cell>
          <cell r="H21">
            <v>42746</v>
          </cell>
          <cell r="I21">
            <v>46625</v>
          </cell>
          <cell r="J21">
            <v>57717</v>
          </cell>
          <cell r="K21">
            <v>59906</v>
          </cell>
          <cell r="L21">
            <v>59722</v>
          </cell>
          <cell r="M21">
            <v>60881</v>
          </cell>
          <cell r="T21">
            <v>18</v>
          </cell>
        </row>
        <row r="22">
          <cell r="T22">
            <v>19</v>
          </cell>
        </row>
        <row r="23">
          <cell r="T23">
            <v>20</v>
          </cell>
          <cell r="U23" t="str">
            <v>YTD/CUMULATIVE SECTION</v>
          </cell>
        </row>
        <row r="24">
          <cell r="T24">
            <v>21</v>
          </cell>
        </row>
        <row r="25">
          <cell r="T25">
            <v>22</v>
          </cell>
          <cell r="U25" t="str">
            <v>Customers</v>
          </cell>
        </row>
        <row r="26">
          <cell r="E26">
            <v>1</v>
          </cell>
          <cell r="F26">
            <v>2</v>
          </cell>
          <cell r="G26">
            <v>3</v>
          </cell>
          <cell r="H26">
            <v>4</v>
          </cell>
          <cell r="I26">
            <v>5</v>
          </cell>
          <cell r="J26">
            <v>6</v>
          </cell>
          <cell r="K26">
            <v>7</v>
          </cell>
          <cell r="L26">
            <v>8</v>
          </cell>
          <cell r="M26">
            <v>9</v>
          </cell>
          <cell r="N26">
            <v>10</v>
          </cell>
          <cell r="O26">
            <v>11</v>
          </cell>
          <cell r="P26">
            <v>12</v>
          </cell>
          <cell r="T26">
            <v>23</v>
          </cell>
          <cell r="W26" t="str">
            <v>Total</v>
          </cell>
          <cell r="X26">
            <v>1</v>
          </cell>
          <cell r="Y26">
            <v>2</v>
          </cell>
          <cell r="Z26">
            <v>3</v>
          </cell>
          <cell r="AA26">
            <v>4</v>
          </cell>
          <cell r="AB26">
            <v>5</v>
          </cell>
          <cell r="AC26">
            <v>6</v>
          </cell>
          <cell r="AD26">
            <v>7</v>
          </cell>
          <cell r="AE26">
            <v>8</v>
          </cell>
          <cell r="AF26">
            <v>9</v>
          </cell>
          <cell r="AG26">
            <v>10</v>
          </cell>
          <cell r="AH26">
            <v>11</v>
          </cell>
          <cell r="AI26">
            <v>12</v>
          </cell>
        </row>
        <row r="27">
          <cell r="E27">
            <v>25232</v>
          </cell>
          <cell r="F27">
            <v>25226</v>
          </cell>
          <cell r="G27">
            <v>25251</v>
          </cell>
          <cell r="H27">
            <v>25295</v>
          </cell>
          <cell r="I27">
            <v>25304</v>
          </cell>
          <cell r="J27">
            <v>25323</v>
          </cell>
          <cell r="K27">
            <v>25337</v>
          </cell>
          <cell r="L27">
            <v>25348</v>
          </cell>
          <cell r="M27">
            <v>25351</v>
          </cell>
          <cell r="N27">
            <v>25351</v>
          </cell>
          <cell r="O27">
            <v>25351</v>
          </cell>
          <cell r="P27">
            <v>25351</v>
          </cell>
          <cell r="T27">
            <v>24</v>
          </cell>
          <cell r="U27" t="str">
            <v>Residential</v>
          </cell>
          <cell r="W27">
            <v>299303</v>
          </cell>
          <cell r="X27">
            <v>24863</v>
          </cell>
          <cell r="Y27">
            <v>24856</v>
          </cell>
          <cell r="Z27">
            <v>24893</v>
          </cell>
          <cell r="AA27">
            <v>24894</v>
          </cell>
          <cell r="AB27">
            <v>24897</v>
          </cell>
          <cell r="AC27">
            <v>24923</v>
          </cell>
          <cell r="AD27">
            <v>24950</v>
          </cell>
          <cell r="AE27">
            <v>24968</v>
          </cell>
          <cell r="AF27">
            <v>24983</v>
          </cell>
          <cell r="AG27">
            <v>25005</v>
          </cell>
          <cell r="AH27">
            <v>25027</v>
          </cell>
          <cell r="AI27">
            <v>25044</v>
          </cell>
        </row>
        <row r="28">
          <cell r="E28">
            <v>7312</v>
          </cell>
          <cell r="F28">
            <v>7318</v>
          </cell>
          <cell r="G28">
            <v>7318</v>
          </cell>
          <cell r="H28">
            <v>7325</v>
          </cell>
          <cell r="I28">
            <v>7326</v>
          </cell>
          <cell r="J28">
            <v>7331</v>
          </cell>
          <cell r="K28">
            <v>7333</v>
          </cell>
          <cell r="L28">
            <v>7337</v>
          </cell>
          <cell r="M28">
            <v>7336</v>
          </cell>
          <cell r="N28">
            <v>7336</v>
          </cell>
          <cell r="O28">
            <v>7336</v>
          </cell>
          <cell r="P28">
            <v>7336</v>
          </cell>
          <cell r="T28">
            <v>25</v>
          </cell>
          <cell r="U28" t="str">
            <v>Commercial</v>
          </cell>
          <cell r="W28">
            <v>87219</v>
          </cell>
          <cell r="X28">
            <v>7282</v>
          </cell>
          <cell r="Y28">
            <v>7267</v>
          </cell>
          <cell r="Z28">
            <v>7260</v>
          </cell>
          <cell r="AA28">
            <v>7262</v>
          </cell>
          <cell r="AB28">
            <v>7260</v>
          </cell>
          <cell r="AC28">
            <v>7262</v>
          </cell>
          <cell r="AD28">
            <v>7264</v>
          </cell>
          <cell r="AE28">
            <v>7265</v>
          </cell>
          <cell r="AF28">
            <v>7268</v>
          </cell>
          <cell r="AG28">
            <v>7273</v>
          </cell>
          <cell r="AH28">
            <v>7276</v>
          </cell>
          <cell r="AI28">
            <v>7280</v>
          </cell>
        </row>
        <row r="29">
          <cell r="E29">
            <v>2</v>
          </cell>
          <cell r="F29">
            <v>2</v>
          </cell>
          <cell r="G29">
            <v>2</v>
          </cell>
          <cell r="H29">
            <v>2</v>
          </cell>
          <cell r="I29">
            <v>2</v>
          </cell>
          <cell r="J29">
            <v>2</v>
          </cell>
          <cell r="K29">
            <v>2</v>
          </cell>
          <cell r="L29">
            <v>2</v>
          </cell>
          <cell r="M29">
            <v>2</v>
          </cell>
          <cell r="N29">
            <v>2</v>
          </cell>
          <cell r="O29">
            <v>2</v>
          </cell>
          <cell r="P29">
            <v>2</v>
          </cell>
          <cell r="T29">
            <v>26</v>
          </cell>
          <cell r="U29" t="str">
            <v xml:space="preserve">Industrial </v>
          </cell>
          <cell r="W29">
            <v>24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  <cell r="AF29">
            <v>2</v>
          </cell>
          <cell r="AG29">
            <v>2</v>
          </cell>
          <cell r="AH29">
            <v>2</v>
          </cell>
          <cell r="AI29">
            <v>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27</v>
          </cell>
          <cell r="U30" t="str">
            <v>Other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E31">
            <v>32546</v>
          </cell>
          <cell r="F31">
            <v>32546</v>
          </cell>
          <cell r="G31">
            <v>32571</v>
          </cell>
          <cell r="H31">
            <v>32622</v>
          </cell>
          <cell r="I31">
            <v>32632</v>
          </cell>
          <cell r="J31">
            <v>32656</v>
          </cell>
          <cell r="K31">
            <v>32672</v>
          </cell>
          <cell r="L31">
            <v>32687</v>
          </cell>
          <cell r="M31">
            <v>32689</v>
          </cell>
          <cell r="N31">
            <v>32689</v>
          </cell>
          <cell r="O31">
            <v>32689</v>
          </cell>
          <cell r="P31">
            <v>32689</v>
          </cell>
          <cell r="T31">
            <v>28</v>
          </cell>
          <cell r="U31" t="str">
            <v>Total customers</v>
          </cell>
          <cell r="W31">
            <v>386546</v>
          </cell>
          <cell r="X31">
            <v>32147</v>
          </cell>
          <cell r="Y31">
            <v>32125</v>
          </cell>
          <cell r="Z31">
            <v>32155</v>
          </cell>
          <cell r="AA31">
            <v>32158</v>
          </cell>
          <cell r="AB31">
            <v>32159</v>
          </cell>
          <cell r="AC31">
            <v>32187</v>
          </cell>
          <cell r="AD31">
            <v>32216</v>
          </cell>
          <cell r="AE31">
            <v>32235</v>
          </cell>
          <cell r="AF31">
            <v>32253</v>
          </cell>
          <cell r="AG31">
            <v>32280</v>
          </cell>
          <cell r="AH31">
            <v>32305</v>
          </cell>
          <cell r="AI31">
            <v>32326</v>
          </cell>
        </row>
        <row r="32">
          <cell r="T32">
            <v>29</v>
          </cell>
        </row>
        <row r="33">
          <cell r="T33">
            <v>30</v>
          </cell>
        </row>
        <row r="34">
          <cell r="E34">
            <v>1</v>
          </cell>
          <cell r="F34">
            <v>2</v>
          </cell>
          <cell r="G34">
            <v>3</v>
          </cell>
          <cell r="H34">
            <v>4</v>
          </cell>
          <cell r="I34">
            <v>5</v>
          </cell>
          <cell r="J34">
            <v>6</v>
          </cell>
          <cell r="K34">
            <v>7</v>
          </cell>
          <cell r="L34">
            <v>8</v>
          </cell>
          <cell r="M34">
            <v>9</v>
          </cell>
          <cell r="N34">
            <v>10</v>
          </cell>
          <cell r="O34">
            <v>11</v>
          </cell>
          <cell r="P34">
            <v>12</v>
          </cell>
          <cell r="T34">
            <v>31</v>
          </cell>
          <cell r="U34" t="str">
            <v xml:space="preserve">Volume </v>
          </cell>
          <cell r="W34" t="str">
            <v>Total</v>
          </cell>
          <cell r="X34">
            <v>1</v>
          </cell>
          <cell r="Y34">
            <v>2</v>
          </cell>
          <cell r="Z34">
            <v>3</v>
          </cell>
          <cell r="AA34">
            <v>4</v>
          </cell>
          <cell r="AB34">
            <v>5</v>
          </cell>
          <cell r="AC34">
            <v>6</v>
          </cell>
          <cell r="AD34">
            <v>7</v>
          </cell>
          <cell r="AE34">
            <v>8</v>
          </cell>
          <cell r="AF34">
            <v>9</v>
          </cell>
          <cell r="AG34">
            <v>10</v>
          </cell>
          <cell r="AH34">
            <v>11</v>
          </cell>
          <cell r="AI34">
            <v>12</v>
          </cell>
        </row>
        <row r="35">
          <cell r="E35">
            <v>29111</v>
          </cell>
          <cell r="F35">
            <v>55850</v>
          </cell>
          <cell r="G35">
            <v>76247</v>
          </cell>
          <cell r="H35">
            <v>95970</v>
          </cell>
          <cell r="I35">
            <v>117006</v>
          </cell>
          <cell r="J35">
            <v>143454</v>
          </cell>
          <cell r="K35">
            <v>175128</v>
          </cell>
          <cell r="L35">
            <v>207159</v>
          </cell>
          <cell r="M35">
            <v>238458</v>
          </cell>
          <cell r="N35">
            <v>238458</v>
          </cell>
          <cell r="O35">
            <v>238458</v>
          </cell>
          <cell r="P35">
            <v>238458</v>
          </cell>
          <cell r="T35">
            <v>32</v>
          </cell>
          <cell r="U35" t="str">
            <v>Residential</v>
          </cell>
          <cell r="W35">
            <v>1913845</v>
          </cell>
          <cell r="X35">
            <v>22867</v>
          </cell>
          <cell r="Y35">
            <v>45138</v>
          </cell>
          <cell r="Z35">
            <v>64947</v>
          </cell>
          <cell r="AA35">
            <v>85742</v>
          </cell>
          <cell r="AB35">
            <v>107194</v>
          </cell>
          <cell r="AC35">
            <v>133728</v>
          </cell>
          <cell r="AD35">
            <v>168812</v>
          </cell>
          <cell r="AE35">
            <v>204139</v>
          </cell>
          <cell r="AF35">
            <v>235283</v>
          </cell>
          <cell r="AG35">
            <v>259355</v>
          </cell>
          <cell r="AH35">
            <v>281620</v>
          </cell>
          <cell r="AI35">
            <v>305020</v>
          </cell>
        </row>
        <row r="36">
          <cell r="E36">
            <v>23173</v>
          </cell>
          <cell r="F36">
            <v>44716</v>
          </cell>
          <cell r="G36">
            <v>64775</v>
          </cell>
          <cell r="H36">
            <v>87168</v>
          </cell>
          <cell r="I36">
            <v>110779</v>
          </cell>
          <cell r="J36">
            <v>137184</v>
          </cell>
          <cell r="K36">
            <v>168778</v>
          </cell>
          <cell r="L36">
            <v>200098</v>
          </cell>
          <cell r="M36">
            <v>232873</v>
          </cell>
          <cell r="N36">
            <v>232873</v>
          </cell>
          <cell r="O36">
            <v>232873</v>
          </cell>
          <cell r="P36">
            <v>232873</v>
          </cell>
          <cell r="T36">
            <v>33</v>
          </cell>
          <cell r="U36" t="str">
            <v>Commercial</v>
          </cell>
          <cell r="W36">
            <v>1841168</v>
          </cell>
          <cell r="X36">
            <v>22653</v>
          </cell>
          <cell r="Y36">
            <v>44034</v>
          </cell>
          <cell r="Z36">
            <v>64679</v>
          </cell>
          <cell r="AA36">
            <v>86036</v>
          </cell>
          <cell r="AB36">
            <v>107497</v>
          </cell>
          <cell r="AC36">
            <v>131988</v>
          </cell>
          <cell r="AD36">
            <v>162258</v>
          </cell>
          <cell r="AE36">
            <v>192181</v>
          </cell>
          <cell r="AF36">
            <v>220238</v>
          </cell>
          <cell r="AG36">
            <v>245733</v>
          </cell>
          <cell r="AH36">
            <v>270609</v>
          </cell>
          <cell r="AI36">
            <v>293262</v>
          </cell>
        </row>
        <row r="37">
          <cell r="E37">
            <v>560</v>
          </cell>
          <cell r="F37">
            <v>4180</v>
          </cell>
          <cell r="G37">
            <v>5100</v>
          </cell>
          <cell r="H37">
            <v>5560</v>
          </cell>
          <cell r="I37">
            <v>6210</v>
          </cell>
          <cell r="J37">
            <v>6840</v>
          </cell>
          <cell r="K37">
            <v>7456</v>
          </cell>
          <cell r="L37">
            <v>8076</v>
          </cell>
          <cell r="M37">
            <v>8691</v>
          </cell>
          <cell r="N37">
            <v>8691</v>
          </cell>
          <cell r="O37">
            <v>8691</v>
          </cell>
          <cell r="P37">
            <v>8691</v>
          </cell>
          <cell r="T37">
            <v>34</v>
          </cell>
          <cell r="U37" t="str">
            <v xml:space="preserve">Industrial </v>
          </cell>
          <cell r="W37">
            <v>147856</v>
          </cell>
          <cell r="X37">
            <v>4880</v>
          </cell>
          <cell r="Y37">
            <v>11530</v>
          </cell>
          <cell r="Z37">
            <v>11612</v>
          </cell>
          <cell r="AA37">
            <v>11884</v>
          </cell>
          <cell r="AB37">
            <v>12008</v>
          </cell>
          <cell r="AC37">
            <v>12382</v>
          </cell>
          <cell r="AD37">
            <v>13092</v>
          </cell>
          <cell r="AE37">
            <v>13460</v>
          </cell>
          <cell r="AF37">
            <v>13978</v>
          </cell>
          <cell r="AG37">
            <v>13978</v>
          </cell>
          <cell r="AH37">
            <v>14246</v>
          </cell>
          <cell r="AI37">
            <v>14806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35</v>
          </cell>
          <cell r="U38" t="str">
            <v>Other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E39">
            <v>52844</v>
          </cell>
          <cell r="F39">
            <v>104746</v>
          </cell>
          <cell r="G39">
            <v>146122</v>
          </cell>
          <cell r="H39">
            <v>188698</v>
          </cell>
          <cell r="I39">
            <v>233995</v>
          </cell>
          <cell r="J39">
            <v>287478</v>
          </cell>
          <cell r="K39">
            <v>351362</v>
          </cell>
          <cell r="L39">
            <v>415333</v>
          </cell>
          <cell r="M39">
            <v>480022</v>
          </cell>
          <cell r="N39">
            <v>480022</v>
          </cell>
          <cell r="O39">
            <v>480022</v>
          </cell>
          <cell r="P39">
            <v>480022</v>
          </cell>
          <cell r="T39">
            <v>36</v>
          </cell>
          <cell r="U39" t="str">
            <v>Total Deliveries</v>
          </cell>
          <cell r="W39">
            <v>3902869</v>
          </cell>
          <cell r="X39">
            <v>50400</v>
          </cell>
          <cell r="Y39">
            <v>100702</v>
          </cell>
          <cell r="Z39">
            <v>141238</v>
          </cell>
          <cell r="AA39">
            <v>183662</v>
          </cell>
          <cell r="AB39">
            <v>226699</v>
          </cell>
          <cell r="AC39">
            <v>278098</v>
          </cell>
          <cell r="AD39">
            <v>344162</v>
          </cell>
          <cell r="AE39">
            <v>409780</v>
          </cell>
          <cell r="AF39">
            <v>469499</v>
          </cell>
          <cell r="AG39">
            <v>519066</v>
          </cell>
          <cell r="AH39">
            <v>566475</v>
          </cell>
          <cell r="AI39">
            <v>613088</v>
          </cell>
        </row>
        <row r="40">
          <cell r="T40">
            <v>37</v>
          </cell>
        </row>
        <row r="43">
          <cell r="E43">
            <v>1</v>
          </cell>
          <cell r="F43">
            <v>2</v>
          </cell>
          <cell r="G43">
            <v>3</v>
          </cell>
          <cell r="H43">
            <v>4</v>
          </cell>
          <cell r="I43">
            <v>5</v>
          </cell>
          <cell r="J43">
            <v>6</v>
          </cell>
          <cell r="K43">
            <v>7</v>
          </cell>
          <cell r="L43">
            <v>8</v>
          </cell>
          <cell r="M43">
            <v>9</v>
          </cell>
          <cell r="N43">
            <v>10</v>
          </cell>
          <cell r="O43">
            <v>11</v>
          </cell>
          <cell r="P43">
            <v>12</v>
          </cell>
          <cell r="T43">
            <v>38</v>
          </cell>
          <cell r="X43">
            <v>1</v>
          </cell>
          <cell r="Y43">
            <v>2</v>
          </cell>
          <cell r="Z43">
            <v>3</v>
          </cell>
          <cell r="AA43">
            <v>4</v>
          </cell>
          <cell r="AB43">
            <v>5</v>
          </cell>
          <cell r="AC43">
            <v>6</v>
          </cell>
          <cell r="AD43">
            <v>7</v>
          </cell>
          <cell r="AE43">
            <v>8</v>
          </cell>
          <cell r="AF43">
            <v>9</v>
          </cell>
          <cell r="AG43">
            <v>10</v>
          </cell>
          <cell r="AH43">
            <v>11</v>
          </cell>
          <cell r="AI43">
            <v>12</v>
          </cell>
        </row>
        <row r="44">
          <cell r="E44">
            <v>32129</v>
          </cell>
          <cell r="F44">
            <v>32150</v>
          </cell>
          <cell r="G44">
            <v>32170</v>
          </cell>
          <cell r="H44">
            <v>32190</v>
          </cell>
          <cell r="I44">
            <v>32194</v>
          </cell>
          <cell r="J44">
            <v>32215</v>
          </cell>
          <cell r="K44">
            <v>32231</v>
          </cell>
          <cell r="L44">
            <v>32248</v>
          </cell>
          <cell r="M44">
            <v>32263</v>
          </cell>
          <cell r="N44">
            <v>32263</v>
          </cell>
          <cell r="O44">
            <v>32263</v>
          </cell>
          <cell r="P44">
            <v>32263</v>
          </cell>
          <cell r="T44">
            <v>39</v>
          </cell>
          <cell r="X44">
            <v>0</v>
          </cell>
        </row>
        <row r="45">
          <cell r="E45">
            <v>49464</v>
          </cell>
          <cell r="F45">
            <v>94985</v>
          </cell>
          <cell r="G45">
            <v>134246</v>
          </cell>
          <cell r="H45">
            <v>176992</v>
          </cell>
          <cell r="I45">
            <v>223617</v>
          </cell>
          <cell r="J45">
            <v>281334</v>
          </cell>
          <cell r="K45">
            <v>341240</v>
          </cell>
          <cell r="L45">
            <v>400962</v>
          </cell>
          <cell r="M45">
            <v>461843</v>
          </cell>
          <cell r="N45">
            <v>461843</v>
          </cell>
          <cell r="O45">
            <v>461843</v>
          </cell>
          <cell r="P45">
            <v>461843</v>
          </cell>
          <cell r="T45">
            <v>40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7">
          <cell r="F47" t="str">
            <v>Customers</v>
          </cell>
          <cell r="G47" t="str">
            <v>Q1 2021</v>
          </cell>
          <cell r="I47" t="str">
            <v>Customers</v>
          </cell>
          <cell r="J47" t="str">
            <v>Q2 2021</v>
          </cell>
          <cell r="L47" t="str">
            <v>Customers</v>
          </cell>
          <cell r="M47" t="str">
            <v>Q3 2021</v>
          </cell>
          <cell r="O47" t="str">
            <v>Customers</v>
          </cell>
          <cell r="P47" t="str">
            <v>Q4 2021</v>
          </cell>
        </row>
        <row r="48">
          <cell r="F48" t="str">
            <v>Residential</v>
          </cell>
          <cell r="G48">
            <v>25251</v>
          </cell>
          <cell r="I48" t="str">
            <v>Residential</v>
          </cell>
          <cell r="J48">
            <v>25395</v>
          </cell>
          <cell r="L48" t="str">
            <v>Residential</v>
          </cell>
          <cell r="M48">
            <v>25408</v>
          </cell>
          <cell r="O48" t="str">
            <v>Residential</v>
          </cell>
          <cell r="P48" t="e">
            <v>#DIV/0!</v>
          </cell>
        </row>
        <row r="49">
          <cell r="F49" t="str">
            <v>Commercial</v>
          </cell>
          <cell r="G49">
            <v>7318</v>
          </cell>
          <cell r="I49" t="str">
            <v>Commercial</v>
          </cell>
          <cell r="J49">
            <v>7343</v>
          </cell>
          <cell r="L49" t="str">
            <v>Commercial</v>
          </cell>
          <cell r="M49">
            <v>7347</v>
          </cell>
          <cell r="O49" t="str">
            <v>Commercial</v>
          </cell>
          <cell r="P49" t="e">
            <v>#DIV/0!</v>
          </cell>
        </row>
        <row r="50">
          <cell r="F50" t="str">
            <v>Industrial</v>
          </cell>
          <cell r="G50">
            <v>2</v>
          </cell>
          <cell r="I50" t="str">
            <v>Industrial</v>
          </cell>
          <cell r="J50">
            <v>2</v>
          </cell>
          <cell r="L50" t="str">
            <v>Industrial</v>
          </cell>
          <cell r="M50">
            <v>2</v>
          </cell>
          <cell r="O50" t="str">
            <v>Industrial</v>
          </cell>
          <cell r="P50" t="e">
            <v>#DIV/0!</v>
          </cell>
        </row>
        <row r="51">
          <cell r="F51" t="str">
            <v>Other</v>
          </cell>
          <cell r="G51">
            <v>0</v>
          </cell>
          <cell r="I51" t="str">
            <v>Other</v>
          </cell>
          <cell r="J51">
            <v>0</v>
          </cell>
          <cell r="L51" t="str">
            <v>Other</v>
          </cell>
          <cell r="M51">
            <v>0</v>
          </cell>
          <cell r="O51" t="str">
            <v>Other</v>
          </cell>
          <cell r="P51" t="e">
            <v>#DIV/0!</v>
          </cell>
        </row>
        <row r="52">
          <cell r="F52" t="str">
            <v>Total customers</v>
          </cell>
          <cell r="G52">
            <v>32571</v>
          </cell>
          <cell r="I52" t="str">
            <v>Total customers</v>
          </cell>
          <cell r="J52">
            <v>32740</v>
          </cell>
          <cell r="L52" t="str">
            <v>Total customers</v>
          </cell>
          <cell r="M52">
            <v>32757</v>
          </cell>
          <cell r="O52" t="str">
            <v>Total customers</v>
          </cell>
          <cell r="P52" t="e">
            <v>#DIV/0!</v>
          </cell>
        </row>
        <row r="54">
          <cell r="F54" t="str">
            <v>Volume</v>
          </cell>
          <cell r="G54" t="str">
            <v>Q1 2021</v>
          </cell>
          <cell r="I54" t="str">
            <v>Volume</v>
          </cell>
          <cell r="J54" t="str">
            <v>Q2 2021</v>
          </cell>
          <cell r="L54" t="str">
            <v>Volume</v>
          </cell>
          <cell r="M54" t="str">
            <v>Q3 2021</v>
          </cell>
          <cell r="O54" t="str">
            <v>Volume</v>
          </cell>
          <cell r="P54" t="str">
            <v>Q4 2021</v>
          </cell>
        </row>
        <row r="55">
          <cell r="F55" t="str">
            <v>Residential</v>
          </cell>
          <cell r="G55">
            <v>76247</v>
          </cell>
          <cell r="I55" t="str">
            <v>Residential</v>
          </cell>
          <cell r="J55">
            <v>67207</v>
          </cell>
          <cell r="L55" t="str">
            <v>Residential</v>
          </cell>
          <cell r="M55">
            <v>95004</v>
          </cell>
          <cell r="O55" t="str">
            <v>Residential</v>
          </cell>
          <cell r="P55">
            <v>0</v>
          </cell>
        </row>
        <row r="56">
          <cell r="F56" t="str">
            <v>Commercial</v>
          </cell>
          <cell r="G56">
            <v>64775</v>
          </cell>
          <cell r="I56" t="str">
            <v>Commercial</v>
          </cell>
          <cell r="J56">
            <v>72409</v>
          </cell>
          <cell r="L56" t="str">
            <v>Commercial</v>
          </cell>
          <cell r="M56">
            <v>95689</v>
          </cell>
          <cell r="O56" t="str">
            <v>Commercial</v>
          </cell>
          <cell r="P56">
            <v>0</v>
          </cell>
        </row>
        <row r="57">
          <cell r="F57" t="str">
            <v>Industrial</v>
          </cell>
          <cell r="G57">
            <v>5100</v>
          </cell>
          <cell r="I57" t="str">
            <v>Industrial</v>
          </cell>
          <cell r="J57">
            <v>1740</v>
          </cell>
          <cell r="L57" t="str">
            <v>Industrial</v>
          </cell>
          <cell r="M57">
            <v>1851</v>
          </cell>
          <cell r="O57" t="str">
            <v>Industrial</v>
          </cell>
          <cell r="P57">
            <v>0</v>
          </cell>
        </row>
        <row r="58">
          <cell r="F58" t="str">
            <v>Other</v>
          </cell>
          <cell r="G58">
            <v>0</v>
          </cell>
          <cell r="I58" t="str">
            <v>Other</v>
          </cell>
          <cell r="J58">
            <v>0</v>
          </cell>
          <cell r="L58" t="str">
            <v>Other</v>
          </cell>
          <cell r="M58">
            <v>0</v>
          </cell>
          <cell r="O58" t="str">
            <v>Other</v>
          </cell>
          <cell r="P58">
            <v>0</v>
          </cell>
        </row>
        <row r="59">
          <cell r="F59" t="str">
            <v>Total Volume</v>
          </cell>
          <cell r="G59">
            <v>146122</v>
          </cell>
          <cell r="I59" t="str">
            <v>Total Volume</v>
          </cell>
          <cell r="J59">
            <v>141356</v>
          </cell>
          <cell r="L59" t="str">
            <v>Total Volume</v>
          </cell>
          <cell r="M59">
            <v>192544</v>
          </cell>
          <cell r="O59" t="str">
            <v>Total Volume</v>
          </cell>
          <cell r="P59">
            <v>0</v>
          </cell>
        </row>
      </sheetData>
      <sheetData sheetId="17">
        <row r="4">
          <cell r="C4" t="str">
            <v>Average</v>
          </cell>
          <cell r="D4" t="str">
            <v>Total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V4" t="str">
            <v>Average</v>
          </cell>
          <cell r="W4" t="str">
            <v>Total</v>
          </cell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  <cell r="AD4">
            <v>7</v>
          </cell>
          <cell r="AE4">
            <v>8</v>
          </cell>
          <cell r="AF4">
            <v>9</v>
          </cell>
          <cell r="AG4">
            <v>10</v>
          </cell>
          <cell r="AH4">
            <v>11</v>
          </cell>
          <cell r="AI4">
            <v>12</v>
          </cell>
        </row>
        <row r="5">
          <cell r="A5">
            <v>2</v>
          </cell>
          <cell r="B5" t="str">
            <v>Commercial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T5">
            <v>2</v>
          </cell>
          <cell r="U5" t="str">
            <v>Commercial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</row>
        <row r="6">
          <cell r="A6">
            <v>3</v>
          </cell>
          <cell r="B6" t="str">
            <v xml:space="preserve">Industrial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3</v>
          </cell>
          <cell r="U6" t="str">
            <v>Industrial firm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</row>
        <row r="7">
          <cell r="A7">
            <v>4</v>
          </cell>
          <cell r="B7" t="str">
            <v>Interruptible transportation</v>
          </cell>
          <cell r="C7">
            <v>14</v>
          </cell>
          <cell r="D7">
            <v>151</v>
          </cell>
          <cell r="E7">
            <v>16</v>
          </cell>
          <cell r="F7">
            <v>15</v>
          </cell>
          <cell r="G7">
            <v>15</v>
          </cell>
          <cell r="H7">
            <v>16</v>
          </cell>
          <cell r="I7">
            <v>14</v>
          </cell>
          <cell r="J7">
            <v>15</v>
          </cell>
          <cell r="K7">
            <v>14</v>
          </cell>
          <cell r="L7">
            <v>16</v>
          </cell>
          <cell r="M7">
            <v>15</v>
          </cell>
          <cell r="N7">
            <v>15</v>
          </cell>
          <cell r="T7">
            <v>4</v>
          </cell>
          <cell r="U7" t="str">
            <v>Interruptible transporation</v>
          </cell>
          <cell r="V7">
            <v>17</v>
          </cell>
          <cell r="W7">
            <v>183</v>
          </cell>
          <cell r="X7">
            <v>15</v>
          </cell>
          <cell r="Y7">
            <v>15</v>
          </cell>
          <cell r="Z7">
            <v>15</v>
          </cell>
          <cell r="AA7">
            <v>15</v>
          </cell>
          <cell r="AB7">
            <v>15</v>
          </cell>
          <cell r="AC7">
            <v>16</v>
          </cell>
          <cell r="AD7">
            <v>15</v>
          </cell>
          <cell r="AE7">
            <v>15</v>
          </cell>
          <cell r="AF7">
            <v>15</v>
          </cell>
          <cell r="AG7">
            <v>16</v>
          </cell>
          <cell r="AH7">
            <v>15</v>
          </cell>
          <cell r="AI7">
            <v>16</v>
          </cell>
        </row>
        <row r="8">
          <cell r="A8">
            <v>5</v>
          </cell>
          <cell r="B8" t="str">
            <v>Less: ESNG to DE, MD &amp; SP</v>
          </cell>
          <cell r="C8">
            <v>-4</v>
          </cell>
          <cell r="D8">
            <v>-40</v>
          </cell>
          <cell r="E8">
            <v>-4</v>
          </cell>
          <cell r="F8">
            <v>-4</v>
          </cell>
          <cell r="G8">
            <v>-4</v>
          </cell>
          <cell r="H8">
            <v>-4</v>
          </cell>
          <cell r="I8">
            <v>-4</v>
          </cell>
          <cell r="J8">
            <v>-4</v>
          </cell>
          <cell r="K8">
            <v>-4</v>
          </cell>
          <cell r="L8">
            <v>-4</v>
          </cell>
          <cell r="M8">
            <v>-4</v>
          </cell>
          <cell r="N8">
            <v>-4</v>
          </cell>
          <cell r="T8">
            <v>5</v>
          </cell>
          <cell r="U8" t="str">
            <v>Less: ESNG to DE, MD &amp; SP</v>
          </cell>
          <cell r="V8">
            <v>-4</v>
          </cell>
          <cell r="W8">
            <v>-41</v>
          </cell>
          <cell r="X8">
            <v>-3</v>
          </cell>
          <cell r="Y8">
            <v>-3</v>
          </cell>
          <cell r="Z8">
            <v>-3</v>
          </cell>
          <cell r="AA8">
            <v>-3</v>
          </cell>
          <cell r="AB8">
            <v>-3</v>
          </cell>
          <cell r="AC8">
            <v>-3</v>
          </cell>
          <cell r="AD8">
            <v>-3</v>
          </cell>
          <cell r="AE8">
            <v>-4</v>
          </cell>
          <cell r="AF8">
            <v>-4</v>
          </cell>
          <cell r="AG8">
            <v>-4</v>
          </cell>
          <cell r="AH8">
            <v>-4</v>
          </cell>
          <cell r="AI8">
            <v>-4</v>
          </cell>
        </row>
        <row r="9">
          <cell r="A9">
            <v>6</v>
          </cell>
          <cell r="B9" t="str">
            <v>Total customers</v>
          </cell>
          <cell r="C9">
            <v>10</v>
          </cell>
          <cell r="D9">
            <v>111</v>
          </cell>
          <cell r="E9">
            <v>12</v>
          </cell>
          <cell r="F9">
            <v>11</v>
          </cell>
          <cell r="G9">
            <v>11</v>
          </cell>
          <cell r="H9">
            <v>12</v>
          </cell>
          <cell r="I9">
            <v>10</v>
          </cell>
          <cell r="J9">
            <v>11</v>
          </cell>
          <cell r="K9">
            <v>10</v>
          </cell>
          <cell r="L9">
            <v>12</v>
          </cell>
          <cell r="M9">
            <v>11</v>
          </cell>
          <cell r="N9">
            <v>11</v>
          </cell>
          <cell r="O9">
            <v>0</v>
          </cell>
          <cell r="P9">
            <v>0</v>
          </cell>
          <cell r="T9">
            <v>6</v>
          </cell>
          <cell r="U9" t="str">
            <v>Total customers</v>
          </cell>
          <cell r="V9">
            <v>13</v>
          </cell>
          <cell r="W9">
            <v>142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12</v>
          </cell>
          <cell r="AE9">
            <v>11</v>
          </cell>
          <cell r="AF9">
            <v>11</v>
          </cell>
          <cell r="AG9">
            <v>12</v>
          </cell>
          <cell r="AH9">
            <v>11</v>
          </cell>
          <cell r="AI9">
            <v>12</v>
          </cell>
        </row>
        <row r="10">
          <cell r="A10">
            <v>7</v>
          </cell>
          <cell r="T10">
            <v>7</v>
          </cell>
        </row>
        <row r="11">
          <cell r="A11">
            <v>8</v>
          </cell>
          <cell r="B11" t="str">
            <v>Volume - current year (2021) - actual</v>
          </cell>
          <cell r="D11" t="str">
            <v>Total</v>
          </cell>
          <cell r="E11">
            <v>1</v>
          </cell>
          <cell r="F11">
            <v>2</v>
          </cell>
          <cell r="G11">
            <v>3</v>
          </cell>
          <cell r="H11">
            <v>4</v>
          </cell>
          <cell r="I11">
            <v>5</v>
          </cell>
          <cell r="J11">
            <v>6</v>
          </cell>
          <cell r="K11">
            <v>7</v>
          </cell>
          <cell r="L11">
            <v>8</v>
          </cell>
          <cell r="M11">
            <v>9</v>
          </cell>
          <cell r="N11">
            <v>10</v>
          </cell>
          <cell r="O11">
            <v>11</v>
          </cell>
          <cell r="P11">
            <v>12</v>
          </cell>
          <cell r="T11">
            <v>8</v>
          </cell>
          <cell r="U11" t="str">
            <v>volume - prior year - 2020</v>
          </cell>
          <cell r="X11">
            <v>1</v>
          </cell>
          <cell r="Y11">
            <v>2</v>
          </cell>
          <cell r="Z11">
            <v>3</v>
          </cell>
          <cell r="AA11">
            <v>4</v>
          </cell>
          <cell r="AB11">
            <v>5</v>
          </cell>
          <cell r="AC11">
            <v>6</v>
          </cell>
          <cell r="AD11">
            <v>7</v>
          </cell>
          <cell r="AE11">
            <v>8</v>
          </cell>
          <cell r="AF11">
            <v>9</v>
          </cell>
          <cell r="AG11">
            <v>10</v>
          </cell>
          <cell r="AH11">
            <v>11</v>
          </cell>
          <cell r="AI11">
            <v>12</v>
          </cell>
        </row>
        <row r="12">
          <cell r="A12">
            <v>9</v>
          </cell>
          <cell r="B12" t="str">
            <v>Commercial</v>
          </cell>
          <cell r="D12">
            <v>0</v>
          </cell>
          <cell r="T12">
            <v>9</v>
          </cell>
          <cell r="U12" t="str">
            <v>Commercial</v>
          </cell>
          <cell r="W12">
            <v>0</v>
          </cell>
        </row>
        <row r="13">
          <cell r="A13">
            <v>10</v>
          </cell>
          <cell r="B13" t="str">
            <v>Industrial firm</v>
          </cell>
          <cell r="D13">
            <v>0</v>
          </cell>
          <cell r="T13">
            <v>10</v>
          </cell>
          <cell r="U13" t="str">
            <v>Industrial firm</v>
          </cell>
          <cell r="W13">
            <v>0</v>
          </cell>
        </row>
        <row r="14">
          <cell r="A14">
            <v>11</v>
          </cell>
          <cell r="B14" t="str">
            <v>Transportation firm</v>
          </cell>
          <cell r="D14" t="e">
            <v>#DIV/0!</v>
          </cell>
          <cell r="E14">
            <v>5411569.1784296064</v>
          </cell>
          <cell r="F14">
            <v>5422693.7207023231</v>
          </cell>
          <cell r="G14">
            <v>3987990.0488976575</v>
          </cell>
          <cell r="H14">
            <v>3724362.5384175815</v>
          </cell>
          <cell r="I14">
            <v>4087158.4464809028</v>
          </cell>
          <cell r="J14">
            <v>3866504.7982425718</v>
          </cell>
          <cell r="K14">
            <v>3969964.6370127448</v>
          </cell>
          <cell r="L14">
            <v>4343902.1586791957</v>
          </cell>
          <cell r="M14">
            <v>3811363.5329549424</v>
          </cell>
          <cell r="N14">
            <v>5192713.3630149877</v>
          </cell>
          <cell r="O14" t="e">
            <v>#DIV/0!</v>
          </cell>
          <cell r="P14" t="e">
            <v>#DIV/0!</v>
          </cell>
          <cell r="T14">
            <v>11</v>
          </cell>
          <cell r="U14" t="str">
            <v>Transportation firm</v>
          </cell>
          <cell r="W14">
            <v>56925329.472958371</v>
          </cell>
          <cell r="X14">
            <v>6111377.1692528548</v>
          </cell>
          <cell r="Y14">
            <v>5464969.4106676867</v>
          </cell>
          <cell r="Z14">
            <v>4862587.2238713903</v>
          </cell>
          <cell r="AA14">
            <v>4874562.6753390292</v>
          </cell>
          <cell r="AB14">
            <v>4245826.2208081242</v>
          </cell>
          <cell r="AC14">
            <v>4041834.3130735727</v>
          </cell>
          <cell r="AD14">
            <v>4553001.3821359174</v>
          </cell>
          <cell r="AE14">
            <v>4565446.4088782603</v>
          </cell>
          <cell r="AF14">
            <v>3867295.948835507</v>
          </cell>
          <cell r="AG14">
            <v>3513161.0119585781</v>
          </cell>
          <cell r="AH14">
            <v>4666835.3337246412</v>
          </cell>
          <cell r="AI14">
            <v>5629375.0577438334</v>
          </cell>
        </row>
        <row r="15">
          <cell r="A15">
            <v>12</v>
          </cell>
          <cell r="B15" t="str">
            <v>Interruptible transportation</v>
          </cell>
          <cell r="D15" t="e">
            <v>#DIV/0!</v>
          </cell>
          <cell r="E15">
            <v>24207.966334109278</v>
          </cell>
          <cell r="F15">
            <v>14573.647901670842</v>
          </cell>
          <cell r="G15">
            <v>15589.80330090518</v>
          </cell>
          <cell r="H15">
            <v>10921.018085221393</v>
          </cell>
          <cell r="I15">
            <v>8788.697819519055</v>
          </cell>
          <cell r="J15">
            <v>18758.430647088298</v>
          </cell>
          <cell r="K15">
            <v>15384.154832329998</v>
          </cell>
          <cell r="L15">
            <v>29291.738022175021</v>
          </cell>
          <cell r="M15">
            <v>8046.6925015319885</v>
          </cell>
          <cell r="N15">
            <v>35851.450236601049</v>
          </cell>
          <cell r="O15" t="e">
            <v>#DIV/0!</v>
          </cell>
          <cell r="P15" t="e">
            <v>#DIV/0!</v>
          </cell>
          <cell r="T15">
            <v>12</v>
          </cell>
          <cell r="U15" t="str">
            <v>Interruptible transporation</v>
          </cell>
          <cell r="W15">
            <v>597710.22637323232</v>
          </cell>
          <cell r="X15">
            <v>31978.752223761541</v>
          </cell>
          <cell r="Y15">
            <v>18896.895984710634</v>
          </cell>
          <cell r="Z15">
            <v>40147.075831759124</v>
          </cell>
          <cell r="AA15">
            <v>10518.89762415014</v>
          </cell>
          <cell r="AB15">
            <v>11532.652394386831</v>
          </cell>
          <cell r="AC15">
            <v>9453.1823783801519</v>
          </cell>
          <cell r="AD15">
            <v>12642.336302975027</v>
          </cell>
          <cell r="AE15">
            <v>9098.2436181697867</v>
          </cell>
          <cell r="AF15">
            <v>8908.5164993931921</v>
          </cell>
          <cell r="AG15">
            <v>9013.173099144904</v>
          </cell>
          <cell r="AH15">
            <v>29215.062064658276</v>
          </cell>
          <cell r="AI15">
            <v>191297.61941424655</v>
          </cell>
        </row>
        <row r="16">
          <cell r="A16">
            <v>13</v>
          </cell>
          <cell r="B16" t="str">
            <v>Less: ESNG to DE, MD &amp; SP</v>
          </cell>
          <cell r="D16" t="e">
            <v>#DIV/0!</v>
          </cell>
          <cell r="E16">
            <v>-2174001.5081763598</v>
          </cell>
          <cell r="F16">
            <v>-2032779.6042309343</v>
          </cell>
          <cell r="G16">
            <v>-1554940.7068906853</v>
          </cell>
          <cell r="H16">
            <v>-1115233.4398986858</v>
          </cell>
          <cell r="I16">
            <v>-835135.68541325128</v>
          </cell>
          <cell r="J16">
            <v>-721447.56619262346</v>
          </cell>
          <cell r="K16">
            <v>-685729.0743240763</v>
          </cell>
          <cell r="L16">
            <v>-700110.78818014718</v>
          </cell>
          <cell r="M16">
            <v>-776547.45389754407</v>
          </cell>
          <cell r="N16">
            <v>-1516438.5874362674</v>
          </cell>
          <cell r="O16" t="e">
            <v>#DIV/0!</v>
          </cell>
          <cell r="P16" t="e">
            <v>#DIV/0!</v>
          </cell>
          <cell r="T16">
            <v>13</v>
          </cell>
          <cell r="U16" t="str">
            <v>Less: ESNG to DE, MD and SP</v>
          </cell>
          <cell r="W16">
            <v>-12980530.216464523</v>
          </cell>
          <cell r="X16">
            <v>-1719371.9055465725</v>
          </cell>
          <cell r="Y16">
            <v>-1512050.2992466097</v>
          </cell>
          <cell r="Z16">
            <v>-1225973.4376807124</v>
          </cell>
          <cell r="AA16">
            <v>-984007.92527596944</v>
          </cell>
          <cell r="AB16">
            <v>-773975.43492027372</v>
          </cell>
          <cell r="AC16">
            <v>-623987.24520078476</v>
          </cell>
          <cell r="AD16">
            <v>-585261.53706281132</v>
          </cell>
          <cell r="AE16">
            <v>-662319.24435725086</v>
          </cell>
          <cell r="AF16">
            <v>-750509.52591936209</v>
          </cell>
          <cell r="AG16">
            <v>-923170.94279086357</v>
          </cell>
          <cell r="AH16">
            <v>-1172181.1156506645</v>
          </cell>
          <cell r="AI16">
            <v>-1916799.7982815437</v>
          </cell>
        </row>
        <row r="17">
          <cell r="A17">
            <v>14</v>
          </cell>
          <cell r="B17" t="str">
            <v>Total Deliveries</v>
          </cell>
          <cell r="D17" t="e">
            <v>#DIV/0!</v>
          </cell>
          <cell r="E17">
            <v>3261775.6365873558</v>
          </cell>
          <cell r="F17">
            <v>3404487.7643730599</v>
          </cell>
          <cell r="G17">
            <v>2448639.1453078771</v>
          </cell>
          <cell r="H17">
            <v>2620050.1166041167</v>
          </cell>
          <cell r="I17">
            <v>3260811.4588871705</v>
          </cell>
          <cell r="J17">
            <v>3163815.6626970368</v>
          </cell>
          <cell r="K17">
            <v>3299619.7175209988</v>
          </cell>
          <cell r="L17">
            <v>3673083.1085212231</v>
          </cell>
          <cell r="M17">
            <v>3042862.7715589302</v>
          </cell>
          <cell r="N17">
            <v>3712126.2258153213</v>
          </cell>
          <cell r="O17" t="e">
            <v>#DIV/0!</v>
          </cell>
          <cell r="P17" t="e">
            <v>#DIV/0!</v>
          </cell>
          <cell r="T17">
            <v>14</v>
          </cell>
          <cell r="U17" t="str">
            <v>Total Deliveries</v>
          </cell>
          <cell r="W17">
            <v>44542509.482867077</v>
          </cell>
          <cell r="X17">
            <v>4423984.0159300435</v>
          </cell>
          <cell r="Y17">
            <v>3971816.0074057872</v>
          </cell>
          <cell r="Z17">
            <v>3676760.8620224367</v>
          </cell>
          <cell r="AA17">
            <v>3901073.6476872098</v>
          </cell>
          <cell r="AB17">
            <v>3483383.4382822374</v>
          </cell>
          <cell r="AC17">
            <v>3427300.2502511679</v>
          </cell>
          <cell r="AD17">
            <v>3980382.1813760814</v>
          </cell>
          <cell r="AE17">
            <v>3912225.4081391795</v>
          </cell>
          <cell r="AF17">
            <v>3125694.9394155382</v>
          </cell>
          <cell r="AG17">
            <v>2599003.2422668594</v>
          </cell>
          <cell r="AH17">
            <v>3523869.2801386346</v>
          </cell>
          <cell r="AI17">
            <v>3903872.8788765362</v>
          </cell>
        </row>
        <row r="18">
          <cell r="A18">
            <v>15</v>
          </cell>
          <cell r="T18">
            <v>15</v>
          </cell>
        </row>
        <row r="19">
          <cell r="A19">
            <v>16</v>
          </cell>
          <cell r="E19">
            <v>1</v>
          </cell>
          <cell r="F19">
            <v>2</v>
          </cell>
          <cell r="G19">
            <v>3</v>
          </cell>
          <cell r="H19">
            <v>4</v>
          </cell>
          <cell r="I19">
            <v>5</v>
          </cell>
          <cell r="J19">
            <v>6</v>
          </cell>
          <cell r="K19">
            <v>7</v>
          </cell>
          <cell r="L19">
            <v>8</v>
          </cell>
          <cell r="M19">
            <v>9</v>
          </cell>
          <cell r="N19">
            <v>10</v>
          </cell>
          <cell r="O19">
            <v>11</v>
          </cell>
          <cell r="P19">
            <v>12</v>
          </cell>
          <cell r="T19">
            <v>16</v>
          </cell>
          <cell r="X19">
            <v>1</v>
          </cell>
          <cell r="Y19">
            <v>2</v>
          </cell>
          <cell r="Z19">
            <v>3</v>
          </cell>
          <cell r="AA19">
            <v>4</v>
          </cell>
          <cell r="AB19">
            <v>5</v>
          </cell>
          <cell r="AC19">
            <v>6</v>
          </cell>
          <cell r="AD19">
            <v>7</v>
          </cell>
          <cell r="AE19">
            <v>8</v>
          </cell>
          <cell r="AF19">
            <v>9</v>
          </cell>
          <cell r="AG19">
            <v>10</v>
          </cell>
          <cell r="AH19">
            <v>11</v>
          </cell>
          <cell r="AI19">
            <v>12</v>
          </cell>
        </row>
        <row r="20">
          <cell r="A20">
            <v>17</v>
          </cell>
          <cell r="B20" t="str">
            <v>BTU factor used</v>
          </cell>
          <cell r="E20">
            <v>1.0370140000000001</v>
          </cell>
          <cell r="F20">
            <v>1.0357050000000001</v>
          </cell>
          <cell r="G20">
            <v>1.0374730000000001</v>
          </cell>
          <cell r="H20">
            <v>1.035984</v>
          </cell>
          <cell r="I20">
            <v>1.0363309999999999</v>
          </cell>
          <cell r="J20">
            <v>1.0378799999999999</v>
          </cell>
          <cell r="K20">
            <v>1.0355460000000001</v>
          </cell>
          <cell r="L20">
            <v>1.035309</v>
          </cell>
          <cell r="M20">
            <v>1.0329710000000001</v>
          </cell>
          <cell r="N20">
            <v>1.0365549999999999</v>
          </cell>
          <cell r="T20">
            <v>17</v>
          </cell>
          <cell r="U20" t="str">
            <v>BTU factor used</v>
          </cell>
          <cell r="X20">
            <v>1.036532</v>
          </cell>
          <cell r="Y20">
            <v>1.0381069999999999</v>
          </cell>
          <cell r="Z20">
            <v>1.03756</v>
          </cell>
          <cell r="AA20">
            <v>1.038702</v>
          </cell>
          <cell r="AB20">
            <v>1.0374890000000001</v>
          </cell>
          <cell r="AC20">
            <v>1.0361590000000001</v>
          </cell>
          <cell r="AD20">
            <v>1.0339069999999999</v>
          </cell>
          <cell r="AE20">
            <v>1.0337160000000001</v>
          </cell>
          <cell r="AF20">
            <v>1.0382199999999999</v>
          </cell>
          <cell r="AG20">
            <v>1.0341530000000001</v>
          </cell>
          <cell r="AH20">
            <v>1.037547</v>
          </cell>
          <cell r="AI20">
            <v>1.039072</v>
          </cell>
        </row>
        <row r="21">
          <cell r="A21">
            <v>18</v>
          </cell>
          <cell r="B21" t="str">
            <v>Volume in Dts</v>
          </cell>
          <cell r="T21">
            <v>18</v>
          </cell>
          <cell r="U21" t="str">
            <v>Volume in Dts</v>
          </cell>
        </row>
        <row r="22">
          <cell r="A22">
            <v>19</v>
          </cell>
          <cell r="B22" t="str">
            <v>Transportation firm</v>
          </cell>
          <cell r="D22">
            <v>45400536</v>
          </cell>
          <cell r="E22">
            <v>5611873</v>
          </cell>
          <cell r="F22">
            <v>5616311</v>
          </cell>
          <cell r="G22">
            <v>4137432</v>
          </cell>
          <cell r="H22">
            <v>3858380</v>
          </cell>
          <cell r="I22">
            <v>4235649</v>
          </cell>
          <cell r="J22">
            <v>4012968</v>
          </cell>
          <cell r="K22">
            <v>4111081</v>
          </cell>
          <cell r="L22">
            <v>4497281</v>
          </cell>
          <cell r="M22">
            <v>3937028</v>
          </cell>
          <cell r="N22">
            <v>5382533</v>
          </cell>
          <cell r="T22">
            <v>19</v>
          </cell>
          <cell r="U22" t="str">
            <v>Transportation firm</v>
          </cell>
          <cell r="X22">
            <v>6334638</v>
          </cell>
          <cell r="Y22">
            <v>5673223</v>
          </cell>
          <cell r="Z22">
            <v>5045226</v>
          </cell>
          <cell r="AA22">
            <v>5063218</v>
          </cell>
          <cell r="AB22">
            <v>4404998</v>
          </cell>
          <cell r="AC22">
            <v>4187983</v>
          </cell>
          <cell r="AD22">
            <v>4707380</v>
          </cell>
          <cell r="AE22">
            <v>4719375</v>
          </cell>
          <cell r="AF22">
            <v>4015104</v>
          </cell>
          <cell r="AG22">
            <v>3633146</v>
          </cell>
          <cell r="AH22">
            <v>4842061</v>
          </cell>
          <cell r="AI22">
            <v>5849326</v>
          </cell>
        </row>
        <row r="23">
          <cell r="A23">
            <v>20</v>
          </cell>
          <cell r="B23" t="str">
            <v>Interruptible transportation</v>
          </cell>
          <cell r="D23">
            <v>187994</v>
          </cell>
          <cell r="E23">
            <v>25104</v>
          </cell>
          <cell r="F23">
            <v>15094</v>
          </cell>
          <cell r="G23">
            <v>16174</v>
          </cell>
          <cell r="H23">
            <v>11314</v>
          </cell>
          <cell r="I23">
            <v>9108</v>
          </cell>
          <cell r="J23">
            <v>19469</v>
          </cell>
          <cell r="K23">
            <v>15931</v>
          </cell>
          <cell r="L23">
            <v>30326</v>
          </cell>
          <cell r="M23">
            <v>8312</v>
          </cell>
          <cell r="N23">
            <v>37162</v>
          </cell>
          <cell r="T23">
            <v>20</v>
          </cell>
          <cell r="U23" t="str">
            <v>Interruptible transportation</v>
          </cell>
          <cell r="X23">
            <v>33147</v>
          </cell>
          <cell r="Y23">
            <v>19617</v>
          </cell>
          <cell r="Z23">
            <v>41655</v>
          </cell>
          <cell r="AA23">
            <v>10926</v>
          </cell>
          <cell r="AB23">
            <v>11965</v>
          </cell>
          <cell r="AC23">
            <v>9795</v>
          </cell>
          <cell r="AD23">
            <v>13071</v>
          </cell>
          <cell r="AE23">
            <v>9405</v>
          </cell>
          <cell r="AF23">
            <v>9249</v>
          </cell>
          <cell r="AG23">
            <v>9321</v>
          </cell>
          <cell r="AH23">
            <v>30312</v>
          </cell>
          <cell r="AI23">
            <v>198772</v>
          </cell>
        </row>
        <row r="24">
          <cell r="A24">
            <v>21</v>
          </cell>
          <cell r="B24" t="str">
            <v>Less: ESNG to DE, MD, EK &amp; SP</v>
          </cell>
          <cell r="D24">
            <v>-12551614</v>
          </cell>
          <cell r="E24">
            <v>-2254470</v>
          </cell>
          <cell r="F24">
            <v>-2105360</v>
          </cell>
          <cell r="G24">
            <v>-1613209</v>
          </cell>
          <cell r="H24">
            <v>-1155364</v>
          </cell>
          <cell r="I24">
            <v>-865477</v>
          </cell>
          <cell r="J24">
            <v>-748776</v>
          </cell>
          <cell r="K24">
            <v>-710104</v>
          </cell>
          <cell r="L24">
            <v>-724831</v>
          </cell>
          <cell r="M24">
            <v>-802151</v>
          </cell>
          <cell r="N24">
            <v>-1571872</v>
          </cell>
          <cell r="T24">
            <v>21</v>
          </cell>
          <cell r="U24" t="str">
            <v>Less: ESNG to DE, MD and SP</v>
          </cell>
          <cell r="X24">
            <v>-1782184</v>
          </cell>
          <cell r="Y24">
            <v>-1569670</v>
          </cell>
          <cell r="Z24">
            <v>-1272021</v>
          </cell>
          <cell r="AA24">
            <v>-1022091</v>
          </cell>
          <cell r="AB24">
            <v>-802991</v>
          </cell>
          <cell r="AC24">
            <v>-646550</v>
          </cell>
          <cell r="AD24">
            <v>-605106</v>
          </cell>
          <cell r="AE24">
            <v>-684650</v>
          </cell>
          <cell r="AF24">
            <v>-779194</v>
          </cell>
          <cell r="AG24">
            <v>-954700</v>
          </cell>
          <cell r="AH24">
            <v>-1216193</v>
          </cell>
          <cell r="AI24">
            <v>-1991693</v>
          </cell>
        </row>
        <row r="25">
          <cell r="A25">
            <v>22</v>
          </cell>
          <cell r="B25" t="str">
            <v>Total Deliveries</v>
          </cell>
          <cell r="D25">
            <v>33036916</v>
          </cell>
          <cell r="E25">
            <v>3382507</v>
          </cell>
          <cell r="F25">
            <v>3526045</v>
          </cell>
          <cell r="G25">
            <v>2540397</v>
          </cell>
          <cell r="H25">
            <v>2714330</v>
          </cell>
          <cell r="I25">
            <v>3379280</v>
          </cell>
          <cell r="J25">
            <v>3283661</v>
          </cell>
          <cell r="K25">
            <v>3416908</v>
          </cell>
          <cell r="L25">
            <v>3802776</v>
          </cell>
          <cell r="M25">
            <v>3143189</v>
          </cell>
          <cell r="N25">
            <v>3847823</v>
          </cell>
          <cell r="O25">
            <v>0</v>
          </cell>
          <cell r="P25">
            <v>0</v>
          </cell>
          <cell r="T25">
            <v>22</v>
          </cell>
          <cell r="U25" t="str">
            <v>Total Deliveries</v>
          </cell>
          <cell r="X25">
            <v>4585601</v>
          </cell>
          <cell r="Y25">
            <v>4123170</v>
          </cell>
          <cell r="Z25">
            <v>3814860</v>
          </cell>
          <cell r="AA25">
            <v>4052053</v>
          </cell>
          <cell r="AB25">
            <v>3613972</v>
          </cell>
          <cell r="AC25">
            <v>3551228</v>
          </cell>
          <cell r="AD25">
            <v>4115345</v>
          </cell>
          <cell r="AE25">
            <v>4044130</v>
          </cell>
          <cell r="AF25">
            <v>3245159</v>
          </cell>
          <cell r="AG25">
            <v>2687767</v>
          </cell>
          <cell r="AH25">
            <v>3656180</v>
          </cell>
          <cell r="AI25">
            <v>4056405</v>
          </cell>
        </row>
        <row r="26">
          <cell r="A26">
            <v>23</v>
          </cell>
          <cell r="T26">
            <v>23</v>
          </cell>
        </row>
        <row r="27">
          <cell r="A27">
            <v>24</v>
          </cell>
          <cell r="B27" t="str">
            <v>BUDGET</v>
          </cell>
          <cell r="D27" t="str">
            <v>Total</v>
          </cell>
          <cell r="E27">
            <v>1</v>
          </cell>
          <cell r="F27">
            <v>2</v>
          </cell>
          <cell r="G27">
            <v>3</v>
          </cell>
          <cell r="H27">
            <v>4</v>
          </cell>
          <cell r="I27">
            <v>5</v>
          </cell>
          <cell r="J27">
            <v>6</v>
          </cell>
          <cell r="K27">
            <v>7</v>
          </cell>
          <cell r="L27">
            <v>8</v>
          </cell>
          <cell r="M27">
            <v>9</v>
          </cell>
          <cell r="N27">
            <v>10</v>
          </cell>
          <cell r="O27">
            <v>11</v>
          </cell>
          <cell r="P27">
            <v>12</v>
          </cell>
          <cell r="T27">
            <v>24</v>
          </cell>
        </row>
        <row r="28">
          <cell r="A28">
            <v>25</v>
          </cell>
          <cell r="B28" t="str">
            <v xml:space="preserve">Customers </v>
          </cell>
          <cell r="T28">
            <v>25</v>
          </cell>
        </row>
        <row r="29">
          <cell r="A29">
            <v>26</v>
          </cell>
          <cell r="B29" t="str">
            <v>Volume (Mcfs)</v>
          </cell>
          <cell r="D29">
            <v>44024938.579262495</v>
          </cell>
          <cell r="E29">
            <v>5441097.4903474897</v>
          </cell>
          <cell r="F29">
            <v>5435719.1119691115</v>
          </cell>
          <cell r="G29">
            <v>4009272.2007722007</v>
          </cell>
          <cell r="H29">
            <v>3735225.8687258684</v>
          </cell>
          <cell r="I29">
            <v>4097255.7915057912</v>
          </cell>
          <cell r="J29">
            <v>3896074.3961352659</v>
          </cell>
          <cell r="K29">
            <v>3987451.2077294691</v>
          </cell>
          <cell r="L29">
            <v>4374499.5169082126</v>
          </cell>
          <cell r="M29">
            <v>3811922.7053140099</v>
          </cell>
          <cell r="N29">
            <v>5236420.2898550732</v>
          </cell>
          <cell r="O29">
            <v>0</v>
          </cell>
          <cell r="P29">
            <v>0</v>
          </cell>
          <cell r="T29">
            <v>26</v>
          </cell>
        </row>
        <row r="30">
          <cell r="A30">
            <v>27</v>
          </cell>
          <cell r="B30" t="str">
            <v>Less Sales to DE/MD/SP</v>
          </cell>
          <cell r="D30">
            <v>-12118347.550034506</v>
          </cell>
          <cell r="E30">
            <v>-2176129.3436293434</v>
          </cell>
          <cell r="F30">
            <v>-2032200.7722007721</v>
          </cell>
          <cell r="G30">
            <v>-1557151.5444015444</v>
          </cell>
          <cell r="H30">
            <v>-1115216.2162162161</v>
          </cell>
          <cell r="I30">
            <v>-835402.50965250959</v>
          </cell>
          <cell r="J30">
            <v>-722756.75675675669</v>
          </cell>
          <cell r="K30">
            <v>-685428.57142857136</v>
          </cell>
          <cell r="L30">
            <v>-700319.80676328507</v>
          </cell>
          <cell r="M30">
            <v>-775025.12077294698</v>
          </cell>
          <cell r="N30">
            <v>-1518716.9082125605</v>
          </cell>
          <cell r="O30">
            <v>0</v>
          </cell>
          <cell r="P30">
            <v>0</v>
          </cell>
          <cell r="T30">
            <v>27</v>
          </cell>
        </row>
        <row r="31">
          <cell r="A31">
            <v>28</v>
          </cell>
          <cell r="D31">
            <v>31906591.029227987</v>
          </cell>
          <cell r="E31">
            <v>3264968.1467181463</v>
          </cell>
          <cell r="F31">
            <v>3403518.3397683394</v>
          </cell>
          <cell r="G31">
            <v>2452120.6563706566</v>
          </cell>
          <cell r="H31">
            <v>2620009.6525096521</v>
          </cell>
          <cell r="I31">
            <v>3261853.2818532819</v>
          </cell>
          <cell r="J31">
            <v>3173317.6393785095</v>
          </cell>
          <cell r="K31">
            <v>3302022.6363008977</v>
          </cell>
          <cell r="L31">
            <v>3674179.7101449277</v>
          </cell>
          <cell r="M31">
            <v>3036897.5845410628</v>
          </cell>
          <cell r="N31">
            <v>3717703.381642513</v>
          </cell>
          <cell r="O31">
            <v>0</v>
          </cell>
          <cell r="P31">
            <v>0</v>
          </cell>
          <cell r="T31">
            <v>28</v>
          </cell>
        </row>
        <row r="32">
          <cell r="A32">
            <v>29</v>
          </cell>
          <cell r="T32">
            <v>29</v>
          </cell>
        </row>
        <row r="33">
          <cell r="A33">
            <v>30</v>
          </cell>
          <cell r="B33" t="str">
            <v>Volume (Dts) *1.036</v>
          </cell>
          <cell r="C33">
            <v>1.036</v>
          </cell>
          <cell r="E33">
            <v>5636977</v>
          </cell>
          <cell r="F33">
            <v>5631405</v>
          </cell>
          <cell r="G33">
            <v>4153606</v>
          </cell>
          <cell r="H33">
            <v>3869694</v>
          </cell>
          <cell r="I33">
            <v>4244757</v>
          </cell>
          <cell r="J33">
            <v>4032437</v>
          </cell>
          <cell r="K33">
            <v>4127012</v>
          </cell>
          <cell r="L33">
            <v>4527607</v>
          </cell>
          <cell r="M33">
            <v>3945340</v>
          </cell>
          <cell r="N33">
            <v>5419695</v>
          </cell>
          <cell r="T33">
            <v>30</v>
          </cell>
          <cell r="U33" t="str">
            <v>Volume (Dts) *1.035</v>
          </cell>
          <cell r="V33">
            <v>1.0349999999999999</v>
          </cell>
          <cell r="X33">
            <v>5906048</v>
          </cell>
          <cell r="Y33">
            <v>5689338</v>
          </cell>
          <cell r="Z33">
            <v>6292792</v>
          </cell>
          <cell r="AA33">
            <v>4290375</v>
          </cell>
          <cell r="AB33">
            <v>5141357</v>
          </cell>
          <cell r="AC33">
            <v>6095134.333333334</v>
          </cell>
          <cell r="AD33">
            <v>5268939.666666666</v>
          </cell>
          <cell r="AE33">
            <v>4901548</v>
          </cell>
          <cell r="AF33">
            <v>4728407</v>
          </cell>
          <cell r="AG33">
            <v>5283641</v>
          </cell>
          <cell r="AH33">
            <v>5441560</v>
          </cell>
          <cell r="AI33">
            <v>5631940</v>
          </cell>
        </row>
        <row r="34">
          <cell r="A34">
            <v>31</v>
          </cell>
          <cell r="B34" t="str">
            <v>Less Sales to DE/MD/SP</v>
          </cell>
          <cell r="E34">
            <v>-2254470</v>
          </cell>
          <cell r="F34">
            <v>-2105360</v>
          </cell>
          <cell r="G34">
            <v>-1613209</v>
          </cell>
          <cell r="H34">
            <v>-1155364</v>
          </cell>
          <cell r="I34">
            <v>-865477</v>
          </cell>
          <cell r="J34">
            <v>-748776</v>
          </cell>
          <cell r="K34">
            <v>-710104</v>
          </cell>
          <cell r="L34">
            <v>-724831</v>
          </cell>
          <cell r="M34">
            <v>-802151</v>
          </cell>
          <cell r="N34">
            <v>-1571872</v>
          </cell>
          <cell r="T34">
            <v>31</v>
          </cell>
          <cell r="U34" t="str">
            <v>Less Sales to DE/MD/SP</v>
          </cell>
          <cell r="X34">
            <v>2082425</v>
          </cell>
          <cell r="Y34">
            <v>1681659</v>
          </cell>
          <cell r="Z34">
            <v>1607044</v>
          </cell>
          <cell r="AA34">
            <v>954483</v>
          </cell>
          <cell r="AB34">
            <v>797812</v>
          </cell>
          <cell r="AC34">
            <v>897715</v>
          </cell>
          <cell r="AD34">
            <v>827514</v>
          </cell>
          <cell r="AE34">
            <v>781466</v>
          </cell>
          <cell r="AF34">
            <v>800583</v>
          </cell>
          <cell r="AG34">
            <v>1087044</v>
          </cell>
          <cell r="AH34">
            <v>1596674</v>
          </cell>
          <cell r="AI34">
            <v>1832563</v>
          </cell>
        </row>
        <row r="35">
          <cell r="A35">
            <v>32</v>
          </cell>
          <cell r="D35">
            <v>0</v>
          </cell>
          <cell r="E35">
            <v>3382507</v>
          </cell>
          <cell r="F35">
            <v>3526045</v>
          </cell>
          <cell r="G35">
            <v>2540397</v>
          </cell>
          <cell r="H35">
            <v>2714330</v>
          </cell>
          <cell r="I35">
            <v>3379280</v>
          </cell>
          <cell r="J35">
            <v>3283661</v>
          </cell>
          <cell r="K35">
            <v>3416908</v>
          </cell>
          <cell r="L35">
            <v>3802776</v>
          </cell>
          <cell r="M35">
            <v>3143189</v>
          </cell>
          <cell r="N35">
            <v>3847823</v>
          </cell>
          <cell r="O35">
            <v>0</v>
          </cell>
          <cell r="P35">
            <v>0</v>
          </cell>
          <cell r="T35">
            <v>32</v>
          </cell>
          <cell r="X35">
            <v>7988473</v>
          </cell>
          <cell r="Y35">
            <v>7370997</v>
          </cell>
          <cell r="Z35">
            <v>7899836</v>
          </cell>
          <cell r="AA35">
            <v>5244858</v>
          </cell>
          <cell r="AB35">
            <v>5939169</v>
          </cell>
          <cell r="AC35">
            <v>6992849.333333334</v>
          </cell>
          <cell r="AD35">
            <v>6096453.666666666</v>
          </cell>
          <cell r="AE35">
            <v>5683014</v>
          </cell>
          <cell r="AF35">
            <v>5528990</v>
          </cell>
          <cell r="AG35">
            <v>6370685</v>
          </cell>
          <cell r="AH35">
            <v>7038234</v>
          </cell>
          <cell r="AI35">
            <v>7464503</v>
          </cell>
        </row>
        <row r="36">
          <cell r="A36">
            <v>33</v>
          </cell>
          <cell r="T36">
            <v>33</v>
          </cell>
        </row>
        <row r="37">
          <cell r="A37">
            <v>34</v>
          </cell>
          <cell r="T37">
            <v>34</v>
          </cell>
        </row>
        <row r="38">
          <cell r="A38">
            <v>35</v>
          </cell>
          <cell r="B38" t="str">
            <v>YTD/CUMULATIVE SECTION</v>
          </cell>
          <cell r="T38">
            <v>35</v>
          </cell>
          <cell r="U38" t="str">
            <v>YTD/CUMULATIVE SECTION</v>
          </cell>
        </row>
        <row r="39">
          <cell r="A39">
            <v>36</v>
          </cell>
          <cell r="B39" t="str">
            <v>Customers - current year</v>
          </cell>
          <cell r="T39">
            <v>36</v>
          </cell>
          <cell r="U39" t="str">
            <v>Customers - prior year - 2020</v>
          </cell>
        </row>
        <row r="40">
          <cell r="A40">
            <v>37</v>
          </cell>
          <cell r="E40">
            <v>1</v>
          </cell>
          <cell r="F40">
            <v>2</v>
          </cell>
          <cell r="G40">
            <v>3</v>
          </cell>
          <cell r="H40">
            <v>4</v>
          </cell>
          <cell r="I40">
            <v>5</v>
          </cell>
          <cell r="J40">
            <v>6</v>
          </cell>
          <cell r="K40">
            <v>7</v>
          </cell>
          <cell r="L40">
            <v>8</v>
          </cell>
          <cell r="M40">
            <v>9</v>
          </cell>
          <cell r="N40">
            <v>10</v>
          </cell>
          <cell r="O40">
            <v>11</v>
          </cell>
          <cell r="P40">
            <v>12</v>
          </cell>
          <cell r="T40">
            <v>37</v>
          </cell>
          <cell r="X40">
            <v>1</v>
          </cell>
          <cell r="Y40">
            <v>2</v>
          </cell>
          <cell r="Z40">
            <v>3</v>
          </cell>
          <cell r="AA40">
            <v>4</v>
          </cell>
          <cell r="AB40">
            <v>5</v>
          </cell>
          <cell r="AC40">
            <v>6</v>
          </cell>
          <cell r="AD40">
            <v>7</v>
          </cell>
          <cell r="AE40">
            <v>8</v>
          </cell>
          <cell r="AF40">
            <v>9</v>
          </cell>
          <cell r="AG40">
            <v>10</v>
          </cell>
          <cell r="AH40">
            <v>11</v>
          </cell>
          <cell r="AI40">
            <v>12</v>
          </cell>
        </row>
        <row r="41">
          <cell r="A41">
            <v>38</v>
          </cell>
          <cell r="B41" t="str">
            <v>Commercial</v>
          </cell>
          <cell r="T41">
            <v>38</v>
          </cell>
          <cell r="U41" t="str">
            <v>Commercial</v>
          </cell>
        </row>
        <row r="42">
          <cell r="A42">
            <v>39</v>
          </cell>
          <cell r="B42" t="str">
            <v xml:space="preserve">Industrial </v>
          </cell>
          <cell r="T42">
            <v>39</v>
          </cell>
          <cell r="U42" t="str">
            <v>Industrial firm</v>
          </cell>
        </row>
        <row r="43">
          <cell r="A43">
            <v>40</v>
          </cell>
          <cell r="B43" t="str">
            <v>Interruptible transportation</v>
          </cell>
          <cell r="E43">
            <v>16</v>
          </cell>
          <cell r="F43">
            <v>15.5</v>
          </cell>
          <cell r="G43">
            <v>15.333333333333334</v>
          </cell>
          <cell r="H43">
            <v>15.5</v>
          </cell>
          <cell r="I43">
            <v>15.2</v>
          </cell>
          <cell r="J43">
            <v>15.166666666666666</v>
          </cell>
          <cell r="K43">
            <v>15</v>
          </cell>
          <cell r="L43">
            <v>15.125</v>
          </cell>
          <cell r="M43">
            <v>15.111111111111111</v>
          </cell>
          <cell r="N43">
            <v>15.1</v>
          </cell>
          <cell r="O43">
            <v>15.1</v>
          </cell>
          <cell r="P43">
            <v>15.1</v>
          </cell>
          <cell r="T43">
            <v>40</v>
          </cell>
          <cell r="U43" t="str">
            <v>Interruptible transporation</v>
          </cell>
          <cell r="X43">
            <v>15</v>
          </cell>
          <cell r="Y43">
            <v>15</v>
          </cell>
          <cell r="Z43">
            <v>15</v>
          </cell>
          <cell r="AA43">
            <v>15</v>
          </cell>
          <cell r="AB43">
            <v>15</v>
          </cell>
          <cell r="AC43">
            <v>15.166666666666666</v>
          </cell>
          <cell r="AD43">
            <v>15.142857142857142</v>
          </cell>
          <cell r="AE43">
            <v>15.125</v>
          </cell>
          <cell r="AF43">
            <v>15.111111111111111</v>
          </cell>
          <cell r="AG43">
            <v>15.2</v>
          </cell>
          <cell r="AH43">
            <v>15.181818181818182</v>
          </cell>
          <cell r="AI43">
            <v>15.25</v>
          </cell>
        </row>
        <row r="44">
          <cell r="A44">
            <v>41</v>
          </cell>
          <cell r="B44" t="str">
            <v>Less: ESNG to DE, MD &amp; SP</v>
          </cell>
          <cell r="E44">
            <v>-4</v>
          </cell>
          <cell r="F44">
            <v>-4</v>
          </cell>
          <cell r="G44">
            <v>-4</v>
          </cell>
          <cell r="H44">
            <v>-4</v>
          </cell>
          <cell r="I44">
            <v>-4</v>
          </cell>
          <cell r="J44">
            <v>-4</v>
          </cell>
          <cell r="K44">
            <v>-4</v>
          </cell>
          <cell r="L44">
            <v>-4</v>
          </cell>
          <cell r="M44">
            <v>-4</v>
          </cell>
          <cell r="N44">
            <v>-4</v>
          </cell>
          <cell r="O44">
            <v>0</v>
          </cell>
          <cell r="P44">
            <v>0</v>
          </cell>
          <cell r="T44">
            <v>41</v>
          </cell>
          <cell r="U44" t="str">
            <v>Less: ESNG to DE, MD &amp; SP</v>
          </cell>
          <cell r="X44">
            <v>-3</v>
          </cell>
          <cell r="Y44">
            <v>-3</v>
          </cell>
          <cell r="Z44">
            <v>-3</v>
          </cell>
          <cell r="AA44">
            <v>-3</v>
          </cell>
          <cell r="AB44">
            <v>-3</v>
          </cell>
          <cell r="AC44">
            <v>-3</v>
          </cell>
          <cell r="AD44">
            <v>-3</v>
          </cell>
          <cell r="AE44">
            <v>-4</v>
          </cell>
          <cell r="AF44">
            <v>-4</v>
          </cell>
          <cell r="AG44">
            <v>-4</v>
          </cell>
          <cell r="AH44">
            <v>-4</v>
          </cell>
          <cell r="AI44">
            <v>-4</v>
          </cell>
        </row>
        <row r="45">
          <cell r="A45">
            <v>42</v>
          </cell>
          <cell r="B45" t="str">
            <v>Total customers</v>
          </cell>
          <cell r="E45">
            <v>12</v>
          </cell>
          <cell r="F45">
            <v>11.5</v>
          </cell>
          <cell r="G45">
            <v>11.333333333333334</v>
          </cell>
          <cell r="H45">
            <v>11.5</v>
          </cell>
          <cell r="I45">
            <v>11.2</v>
          </cell>
          <cell r="J45">
            <v>11.166666666666666</v>
          </cell>
          <cell r="K45">
            <v>11</v>
          </cell>
          <cell r="L45">
            <v>11.125</v>
          </cell>
          <cell r="M45">
            <v>11.111111111111111</v>
          </cell>
          <cell r="N45">
            <v>11.1</v>
          </cell>
          <cell r="O45">
            <v>15.1</v>
          </cell>
          <cell r="P45">
            <v>15.1</v>
          </cell>
          <cell r="T45">
            <v>42</v>
          </cell>
          <cell r="U45" t="str">
            <v>Total customers</v>
          </cell>
          <cell r="X45">
            <v>12</v>
          </cell>
          <cell r="Y45">
            <v>12</v>
          </cell>
          <cell r="Z45">
            <v>12</v>
          </cell>
          <cell r="AA45">
            <v>12</v>
          </cell>
          <cell r="AB45">
            <v>12</v>
          </cell>
          <cell r="AC45">
            <v>12.166666666666666</v>
          </cell>
          <cell r="AD45">
            <v>12.142857142857142</v>
          </cell>
          <cell r="AE45">
            <v>11.125</v>
          </cell>
          <cell r="AF45">
            <v>11.111111111111111</v>
          </cell>
          <cell r="AG45">
            <v>11.2</v>
          </cell>
          <cell r="AH45">
            <v>11.181818181818182</v>
          </cell>
          <cell r="AI45">
            <v>11.25</v>
          </cell>
        </row>
        <row r="46">
          <cell r="A46">
            <v>43</v>
          </cell>
          <cell r="T46">
            <v>43</v>
          </cell>
        </row>
        <row r="47">
          <cell r="A47">
            <v>44</v>
          </cell>
          <cell r="T47">
            <v>44</v>
          </cell>
        </row>
        <row r="48">
          <cell r="A48">
            <v>45</v>
          </cell>
          <cell r="B48" t="str">
            <v>Volume in Mcfs - YTD cumulative</v>
          </cell>
          <cell r="D48" t="str">
            <v>Total</v>
          </cell>
          <cell r="E48">
            <v>1</v>
          </cell>
          <cell r="F48">
            <v>2</v>
          </cell>
          <cell r="G48">
            <v>3</v>
          </cell>
          <cell r="H48">
            <v>4</v>
          </cell>
          <cell r="I48">
            <v>5</v>
          </cell>
          <cell r="J48">
            <v>6</v>
          </cell>
          <cell r="K48">
            <v>7</v>
          </cell>
          <cell r="L48">
            <v>8</v>
          </cell>
          <cell r="M48">
            <v>9</v>
          </cell>
          <cell r="N48">
            <v>10</v>
          </cell>
          <cell r="O48">
            <v>11</v>
          </cell>
          <cell r="P48">
            <v>12</v>
          </cell>
          <cell r="T48">
            <v>45</v>
          </cell>
          <cell r="U48" t="str">
            <v>volume - prior year - 2020</v>
          </cell>
          <cell r="X48">
            <v>1</v>
          </cell>
          <cell r="Y48">
            <v>2</v>
          </cell>
          <cell r="Z48">
            <v>3</v>
          </cell>
          <cell r="AA48">
            <v>4</v>
          </cell>
          <cell r="AB48">
            <v>5</v>
          </cell>
          <cell r="AC48">
            <v>6</v>
          </cell>
          <cell r="AD48">
            <v>7</v>
          </cell>
          <cell r="AE48">
            <v>8</v>
          </cell>
          <cell r="AF48">
            <v>9</v>
          </cell>
          <cell r="AG48">
            <v>10</v>
          </cell>
          <cell r="AH48">
            <v>11</v>
          </cell>
          <cell r="AI48">
            <v>12</v>
          </cell>
        </row>
        <row r="49">
          <cell r="A49">
            <v>46</v>
          </cell>
          <cell r="B49" t="str">
            <v>Commercial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46</v>
          </cell>
          <cell r="U49" t="str">
            <v>Commercial</v>
          </cell>
        </row>
        <row r="50">
          <cell r="A50">
            <v>47</v>
          </cell>
          <cell r="B50" t="str">
            <v>Industrial firm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47</v>
          </cell>
          <cell r="U50" t="str">
            <v>Industrial firm</v>
          </cell>
        </row>
        <row r="51">
          <cell r="A51">
            <v>48</v>
          </cell>
          <cell r="B51" t="str">
            <v>Transportation firm</v>
          </cell>
          <cell r="E51">
            <v>5411569.1784296064</v>
          </cell>
          <cell r="F51">
            <v>10834262.89913193</v>
          </cell>
          <cell r="G51">
            <v>14822252.948029587</v>
          </cell>
          <cell r="H51">
            <v>18546615.48644717</v>
          </cell>
          <cell r="I51">
            <v>22633773.932928074</v>
          </cell>
          <cell r="J51">
            <v>26500278.731170647</v>
          </cell>
          <cell r="K51">
            <v>30470243.368183393</v>
          </cell>
          <cell r="L51">
            <v>34814145.526862592</v>
          </cell>
          <cell r="M51">
            <v>38625509.059817538</v>
          </cell>
          <cell r="N51">
            <v>43818222.422832526</v>
          </cell>
          <cell r="O51" t="e">
            <v>#DIV/0!</v>
          </cell>
          <cell r="P51" t="e">
            <v>#DIV/0!</v>
          </cell>
          <cell r="T51">
            <v>48</v>
          </cell>
          <cell r="U51" t="str">
            <v>Transportation firm</v>
          </cell>
          <cell r="X51">
            <v>6111377.1692528548</v>
          </cell>
          <cell r="Y51">
            <v>11576346.579920541</v>
          </cell>
          <cell r="Z51">
            <v>16438933.803791933</v>
          </cell>
          <cell r="AA51">
            <v>21313496.479130961</v>
          </cell>
          <cell r="AB51">
            <v>25559322.699939087</v>
          </cell>
          <cell r="AC51">
            <v>29601157.013012659</v>
          </cell>
          <cell r="AD51">
            <v>34154158.395148575</v>
          </cell>
          <cell r="AE51">
            <v>38719604.804026835</v>
          </cell>
          <cell r="AF51">
            <v>42586900.752862342</v>
          </cell>
          <cell r="AG51">
            <v>46100061.764820918</v>
          </cell>
          <cell r="AH51">
            <v>50766897.098545559</v>
          </cell>
          <cell r="AI51">
            <v>56396272.156289391</v>
          </cell>
        </row>
        <row r="52">
          <cell r="A52">
            <v>49</v>
          </cell>
          <cell r="B52" t="str">
            <v>Interruptible transportation</v>
          </cell>
          <cell r="E52">
            <v>24207.966334109278</v>
          </cell>
          <cell r="F52">
            <v>38781.614235780122</v>
          </cell>
          <cell r="G52">
            <v>54371.417536685301</v>
          </cell>
          <cell r="H52">
            <v>65292.435621906698</v>
          </cell>
          <cell r="I52">
            <v>74081.133441425758</v>
          </cell>
          <cell r="J52">
            <v>92839.56408851406</v>
          </cell>
          <cell r="K52">
            <v>108223.71892084405</v>
          </cell>
          <cell r="L52">
            <v>137515.45694301906</v>
          </cell>
          <cell r="M52">
            <v>145562.14944455106</v>
          </cell>
          <cell r="N52">
            <v>181413.59968115212</v>
          </cell>
          <cell r="O52" t="e">
            <v>#DIV/0!</v>
          </cell>
          <cell r="P52" t="e">
            <v>#DIV/0!</v>
          </cell>
          <cell r="T52">
            <v>49</v>
          </cell>
          <cell r="U52" t="str">
            <v>Interruptible transporation</v>
          </cell>
          <cell r="X52">
            <v>31978.752223761541</v>
          </cell>
          <cell r="Y52">
            <v>50875.648208472179</v>
          </cell>
          <cell r="Z52">
            <v>91022.724040231304</v>
          </cell>
          <cell r="AA52">
            <v>101541.62166438144</v>
          </cell>
          <cell r="AB52">
            <v>113074.27405876826</v>
          </cell>
          <cell r="AC52">
            <v>122527.45643714842</v>
          </cell>
          <cell r="AD52">
            <v>135169.79274012343</v>
          </cell>
          <cell r="AE52">
            <v>144268.03635829323</v>
          </cell>
          <cell r="AF52">
            <v>153176.55285768642</v>
          </cell>
          <cell r="AG52">
            <v>162189.72595683133</v>
          </cell>
          <cell r="AH52">
            <v>191404.7880214896</v>
          </cell>
          <cell r="AI52">
            <v>382702.40743573615</v>
          </cell>
        </row>
        <row r="53">
          <cell r="A53">
            <v>50</v>
          </cell>
          <cell r="B53" t="str">
            <v>Less: ESNG to DE, MD &amp; SP</v>
          </cell>
          <cell r="E53">
            <v>-2174001.5081763598</v>
          </cell>
          <cell r="F53">
            <v>-4206781.1124072941</v>
          </cell>
          <cell r="G53">
            <v>-5761721.8192979796</v>
          </cell>
          <cell r="H53">
            <v>-6876955.2591966651</v>
          </cell>
          <cell r="I53">
            <v>-7712090.9446099168</v>
          </cell>
          <cell r="J53">
            <v>-8433538.5108025409</v>
          </cell>
          <cell r="K53">
            <v>-9119267.5851266179</v>
          </cell>
          <cell r="L53">
            <v>-9819378.3733067643</v>
          </cell>
          <cell r="M53">
            <v>-10595925.827204308</v>
          </cell>
          <cell r="N53">
            <v>-12112364.414640576</v>
          </cell>
          <cell r="O53" t="e">
            <v>#DIV/0!</v>
          </cell>
          <cell r="P53" t="e">
            <v>#DIV/0!</v>
          </cell>
          <cell r="T53">
            <v>50</v>
          </cell>
          <cell r="U53" t="str">
            <v>Less: ESNG to DE, MD &amp; SP</v>
          </cell>
          <cell r="X53">
            <v>-1719371.9055465725</v>
          </cell>
          <cell r="Y53">
            <v>-3231422.2047931822</v>
          </cell>
          <cell r="Z53">
            <v>-4457395.6424738951</v>
          </cell>
          <cell r="AA53">
            <v>-5441403.5677498644</v>
          </cell>
          <cell r="AB53">
            <v>-6215379.0026701381</v>
          </cell>
          <cell r="AC53">
            <v>-6839366.247870923</v>
          </cell>
          <cell r="AD53">
            <v>-7424627.7849337347</v>
          </cell>
          <cell r="AE53">
            <v>-8086947.0292909853</v>
          </cell>
          <cell r="AF53">
            <v>-8837456.5552103482</v>
          </cell>
          <cell r="AG53">
            <v>-9760627.4980012123</v>
          </cell>
          <cell r="AH53">
            <v>-10932808.613651877</v>
          </cell>
          <cell r="AI53">
            <v>-12849608.41193342</v>
          </cell>
        </row>
        <row r="54">
          <cell r="A54">
            <v>51</v>
          </cell>
          <cell r="B54" t="str">
            <v>Total Deliveries</v>
          </cell>
          <cell r="E54">
            <v>3261775.6365873558</v>
          </cell>
          <cell r="F54">
            <v>6666263.4009604147</v>
          </cell>
          <cell r="G54">
            <v>9114902.5462682918</v>
          </cell>
          <cell r="H54">
            <v>11734952.662872411</v>
          </cell>
          <cell r="I54">
            <v>14995764.121759582</v>
          </cell>
          <cell r="J54">
            <v>18159579.784456618</v>
          </cell>
          <cell r="K54">
            <v>21459199.501977623</v>
          </cell>
          <cell r="L54">
            <v>25132282.610498846</v>
          </cell>
          <cell r="M54">
            <v>28175145.382057779</v>
          </cell>
          <cell r="N54">
            <v>31887271.607873105</v>
          </cell>
          <cell r="O54" t="e">
            <v>#DIV/0!</v>
          </cell>
          <cell r="P54" t="e">
            <v>#DIV/0!</v>
          </cell>
          <cell r="T54">
            <v>51</v>
          </cell>
          <cell r="U54" t="str">
            <v>Total Deliveries</v>
          </cell>
          <cell r="X54">
            <v>4423984.0159300435</v>
          </cell>
          <cell r="Y54">
            <v>8395800.0233358331</v>
          </cell>
          <cell r="Z54">
            <v>12072560.885358268</v>
          </cell>
          <cell r="AA54">
            <v>15973634.533045478</v>
          </cell>
          <cell r="AB54">
            <v>19457017.971327715</v>
          </cell>
          <cell r="AC54">
            <v>22884318.221578885</v>
          </cell>
          <cell r="AD54">
            <v>26864700.402954962</v>
          </cell>
          <cell r="AE54">
            <v>30776925.811094146</v>
          </cell>
          <cell r="AF54">
            <v>33902620.750509679</v>
          </cell>
          <cell r="AG54">
            <v>36501623.992776543</v>
          </cell>
          <cell r="AH54">
            <v>40025493.27291517</v>
          </cell>
          <cell r="AI54">
            <v>43929366.151791707</v>
          </cell>
        </row>
        <row r="55">
          <cell r="A55">
            <v>52</v>
          </cell>
          <cell r="T55">
            <v>52</v>
          </cell>
        </row>
        <row r="56">
          <cell r="A56">
            <v>53</v>
          </cell>
          <cell r="T56">
            <v>53</v>
          </cell>
        </row>
        <row r="57">
          <cell r="A57">
            <v>54</v>
          </cell>
          <cell r="B57" t="str">
            <v>Volume in DTS - YTD cumulative</v>
          </cell>
          <cell r="E57">
            <v>1</v>
          </cell>
          <cell r="F57">
            <v>2</v>
          </cell>
          <cell r="G57">
            <v>3</v>
          </cell>
          <cell r="H57">
            <v>4</v>
          </cell>
          <cell r="I57">
            <v>5</v>
          </cell>
          <cell r="J57">
            <v>6</v>
          </cell>
          <cell r="K57">
            <v>7</v>
          </cell>
          <cell r="L57">
            <v>8</v>
          </cell>
          <cell r="M57">
            <v>9</v>
          </cell>
          <cell r="N57">
            <v>10</v>
          </cell>
          <cell r="O57">
            <v>11</v>
          </cell>
          <cell r="P57">
            <v>12</v>
          </cell>
          <cell r="T57">
            <v>54</v>
          </cell>
          <cell r="U57" t="str">
            <v>Volume in Dts</v>
          </cell>
          <cell r="X57">
            <v>1</v>
          </cell>
          <cell r="Y57">
            <v>2</v>
          </cell>
          <cell r="Z57">
            <v>3</v>
          </cell>
          <cell r="AA57">
            <v>4</v>
          </cell>
          <cell r="AB57">
            <v>5</v>
          </cell>
          <cell r="AC57">
            <v>6</v>
          </cell>
          <cell r="AD57">
            <v>7</v>
          </cell>
          <cell r="AE57">
            <v>8</v>
          </cell>
          <cell r="AF57">
            <v>9</v>
          </cell>
          <cell r="AG57">
            <v>10</v>
          </cell>
          <cell r="AH57">
            <v>11</v>
          </cell>
          <cell r="AI57">
            <v>12</v>
          </cell>
        </row>
        <row r="58">
          <cell r="A58">
            <v>55</v>
          </cell>
          <cell r="B58" t="str">
            <v>Transportation firm</v>
          </cell>
          <cell r="E58">
            <v>5611873</v>
          </cell>
          <cell r="F58">
            <v>11228184</v>
          </cell>
          <cell r="G58">
            <v>15365616</v>
          </cell>
          <cell r="H58">
            <v>19223996</v>
          </cell>
          <cell r="I58">
            <v>23459645</v>
          </cell>
          <cell r="J58">
            <v>27472613</v>
          </cell>
          <cell r="K58">
            <v>31583694</v>
          </cell>
          <cell r="L58">
            <v>36080975</v>
          </cell>
          <cell r="M58">
            <v>40018003</v>
          </cell>
          <cell r="N58">
            <v>45400536</v>
          </cell>
          <cell r="O58">
            <v>45400536</v>
          </cell>
          <cell r="P58">
            <v>45400536</v>
          </cell>
          <cell r="T58">
            <v>55</v>
          </cell>
          <cell r="U58" t="str">
            <v>Transportation firm</v>
          </cell>
          <cell r="X58">
            <v>6334638</v>
          </cell>
          <cell r="Y58">
            <v>12007861</v>
          </cell>
          <cell r="Z58">
            <v>17053087</v>
          </cell>
          <cell r="AA58">
            <v>22116305</v>
          </cell>
          <cell r="AB58">
            <v>26521303</v>
          </cell>
          <cell r="AC58">
            <v>30709286</v>
          </cell>
          <cell r="AD58">
            <v>35416666</v>
          </cell>
          <cell r="AE58">
            <v>40136041</v>
          </cell>
          <cell r="AF58">
            <v>44151145</v>
          </cell>
          <cell r="AG58">
            <v>47784291</v>
          </cell>
          <cell r="AH58">
            <v>52626352</v>
          </cell>
          <cell r="AI58">
            <v>58475678</v>
          </cell>
        </row>
        <row r="59">
          <cell r="A59">
            <v>56</v>
          </cell>
          <cell r="B59" t="str">
            <v>Interruptible transportation</v>
          </cell>
          <cell r="E59">
            <v>25104</v>
          </cell>
          <cell r="F59">
            <v>40198</v>
          </cell>
          <cell r="G59">
            <v>56372</v>
          </cell>
          <cell r="H59">
            <v>67686</v>
          </cell>
          <cell r="I59">
            <v>76794</v>
          </cell>
          <cell r="J59">
            <v>96263</v>
          </cell>
          <cell r="K59">
            <v>112194</v>
          </cell>
          <cell r="L59">
            <v>142520</v>
          </cell>
          <cell r="M59">
            <v>150832</v>
          </cell>
          <cell r="N59">
            <v>187994</v>
          </cell>
          <cell r="O59">
            <v>187994</v>
          </cell>
          <cell r="P59">
            <v>187994</v>
          </cell>
        </row>
        <row r="60">
          <cell r="A60">
            <v>57</v>
          </cell>
          <cell r="B60" t="str">
            <v>Less: ESNG to DE, MD &amp; SP</v>
          </cell>
          <cell r="E60">
            <v>-2254470</v>
          </cell>
          <cell r="F60">
            <v>-4359830</v>
          </cell>
          <cell r="G60">
            <v>-5973039</v>
          </cell>
          <cell r="H60">
            <v>-7128403</v>
          </cell>
          <cell r="I60">
            <v>-7993880</v>
          </cell>
          <cell r="J60">
            <v>-8742656</v>
          </cell>
          <cell r="K60">
            <v>-9452760</v>
          </cell>
          <cell r="L60">
            <v>-10177591</v>
          </cell>
          <cell r="M60">
            <v>-10979742</v>
          </cell>
          <cell r="N60">
            <v>-12551614</v>
          </cell>
          <cell r="O60">
            <v>-12551614</v>
          </cell>
          <cell r="P60">
            <v>-12551614</v>
          </cell>
        </row>
        <row r="61">
          <cell r="A61">
            <v>58</v>
          </cell>
          <cell r="B61" t="str">
            <v>Total Deliveries</v>
          </cell>
          <cell r="D61">
            <v>0</v>
          </cell>
          <cell r="E61">
            <v>3382507</v>
          </cell>
          <cell r="F61">
            <v>6908552</v>
          </cell>
          <cell r="G61">
            <v>9448949</v>
          </cell>
          <cell r="H61">
            <v>12163279</v>
          </cell>
          <cell r="I61">
            <v>15542559</v>
          </cell>
          <cell r="J61">
            <v>18826220</v>
          </cell>
          <cell r="K61">
            <v>22243128</v>
          </cell>
          <cell r="L61">
            <v>26045904</v>
          </cell>
          <cell r="M61">
            <v>29189093</v>
          </cell>
          <cell r="N61">
            <v>33036916</v>
          </cell>
          <cell r="O61">
            <v>33036916</v>
          </cell>
          <cell r="P61">
            <v>33036916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  <cell r="B64" t="str">
            <v>BUDGET</v>
          </cell>
          <cell r="E64">
            <v>1</v>
          </cell>
          <cell r="F64">
            <v>2</v>
          </cell>
          <cell r="G64">
            <v>3</v>
          </cell>
          <cell r="H64">
            <v>4</v>
          </cell>
          <cell r="I64">
            <v>5</v>
          </cell>
          <cell r="J64">
            <v>6</v>
          </cell>
          <cell r="K64">
            <v>7</v>
          </cell>
          <cell r="L64">
            <v>8</v>
          </cell>
          <cell r="M64">
            <v>9</v>
          </cell>
          <cell r="N64">
            <v>10</v>
          </cell>
          <cell r="O64">
            <v>11</v>
          </cell>
          <cell r="P64">
            <v>12</v>
          </cell>
        </row>
        <row r="65">
          <cell r="A65">
            <v>62</v>
          </cell>
          <cell r="B65" t="str">
            <v xml:space="preserve">Customers </v>
          </cell>
        </row>
        <row r="66">
          <cell r="A66">
            <v>63</v>
          </cell>
          <cell r="B66" t="str">
            <v>Volume (Mcfs)</v>
          </cell>
          <cell r="E66">
            <v>5441097.4903474897</v>
          </cell>
          <cell r="F66">
            <v>10876816.602316601</v>
          </cell>
          <cell r="G66">
            <v>14886088.803088803</v>
          </cell>
          <cell r="H66">
            <v>18621314.671814673</v>
          </cell>
          <cell r="I66">
            <v>22718570.463320464</v>
          </cell>
          <cell r="J66">
            <v>26614644.859455731</v>
          </cell>
          <cell r="K66">
            <v>30602096.067185201</v>
          </cell>
          <cell r="L66">
            <v>34976595.584093414</v>
          </cell>
          <cell r="M66">
            <v>38788518.289407425</v>
          </cell>
          <cell r="N66">
            <v>44024938.579262495</v>
          </cell>
          <cell r="O66">
            <v>44024938.579262495</v>
          </cell>
          <cell r="P66">
            <v>44024938.579262495</v>
          </cell>
        </row>
        <row r="67">
          <cell r="A67">
            <v>64</v>
          </cell>
          <cell r="B67" t="str">
            <v>Less Sales to DE/MD/SP</v>
          </cell>
          <cell r="E67">
            <v>-2176129.3436293434</v>
          </cell>
          <cell r="F67">
            <v>-4208330.115830116</v>
          </cell>
          <cell r="G67">
            <v>-5765481.6602316601</v>
          </cell>
          <cell r="H67">
            <v>-6880697.876447876</v>
          </cell>
          <cell r="I67">
            <v>-7716100.3861003853</v>
          </cell>
          <cell r="J67">
            <v>-8438857.1428571418</v>
          </cell>
          <cell r="K67">
            <v>-9124285.7142857127</v>
          </cell>
          <cell r="L67">
            <v>-9824605.5210489985</v>
          </cell>
          <cell r="M67">
            <v>-10599630.641821945</v>
          </cell>
          <cell r="N67">
            <v>-12118347.550034506</v>
          </cell>
          <cell r="O67">
            <v>-12118347.550034506</v>
          </cell>
          <cell r="P67">
            <v>-12118347.550034506</v>
          </cell>
        </row>
        <row r="68">
          <cell r="A68">
            <v>65</v>
          </cell>
          <cell r="E68">
            <v>3264968.1467181463</v>
          </cell>
          <cell r="F68">
            <v>6668486.4864864852</v>
          </cell>
          <cell r="G68">
            <v>9120607.1428571418</v>
          </cell>
          <cell r="H68">
            <v>11740616.795366798</v>
          </cell>
          <cell r="I68">
            <v>15002470.077220079</v>
          </cell>
          <cell r="J68">
            <v>18175787.716598589</v>
          </cell>
          <cell r="K68">
            <v>21477810.352899488</v>
          </cell>
          <cell r="L68">
            <v>25151990.063044414</v>
          </cell>
          <cell r="M68">
            <v>28188887.647585481</v>
          </cell>
          <cell r="N68">
            <v>31906591.029227987</v>
          </cell>
          <cell r="O68">
            <v>31906591.029227987</v>
          </cell>
          <cell r="P68">
            <v>31906591.029227987</v>
          </cell>
        </row>
        <row r="69">
          <cell r="A69">
            <v>66</v>
          </cell>
        </row>
        <row r="70">
          <cell r="A70">
            <v>67</v>
          </cell>
          <cell r="B70" t="str">
            <v>Volume (Dts) *1.035</v>
          </cell>
          <cell r="E70">
            <v>5636977</v>
          </cell>
          <cell r="F70">
            <v>11268382</v>
          </cell>
          <cell r="G70">
            <v>15421988</v>
          </cell>
          <cell r="H70">
            <v>19291682</v>
          </cell>
          <cell r="I70">
            <v>23536439</v>
          </cell>
          <cell r="J70">
            <v>27568876</v>
          </cell>
          <cell r="K70">
            <v>31695888</v>
          </cell>
          <cell r="L70">
            <v>36223495</v>
          </cell>
          <cell r="M70">
            <v>40168835</v>
          </cell>
          <cell r="N70">
            <v>45588530</v>
          </cell>
          <cell r="O70">
            <v>45588530</v>
          </cell>
          <cell r="P70">
            <v>45588530</v>
          </cell>
        </row>
        <row r="71">
          <cell r="A71">
            <v>68</v>
          </cell>
          <cell r="B71" t="str">
            <v>Less Sales to DE/MD/SP</v>
          </cell>
          <cell r="E71">
            <v>-2254470</v>
          </cell>
          <cell r="F71">
            <v>-4359830</v>
          </cell>
          <cell r="G71">
            <v>-5973039</v>
          </cell>
          <cell r="H71">
            <v>-7128403</v>
          </cell>
          <cell r="I71">
            <v>-7993880</v>
          </cell>
          <cell r="J71">
            <v>-8742656</v>
          </cell>
          <cell r="K71">
            <v>-9452760</v>
          </cell>
          <cell r="L71">
            <v>-10177591</v>
          </cell>
          <cell r="M71">
            <v>-10979742</v>
          </cell>
          <cell r="N71">
            <v>-12551614</v>
          </cell>
          <cell r="O71">
            <v>-12551614</v>
          </cell>
          <cell r="P71">
            <v>-12551614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ctr@eia.gov" TargetMode="External"/><Relationship Id="rId2" Type="http://schemas.openxmlformats.org/officeDocument/2006/relationships/hyperlink" Target="http://www.eia.gov/" TargetMode="External"/><Relationship Id="rId1" Type="http://schemas.openxmlformats.org/officeDocument/2006/relationships/hyperlink" Target="http://www.eia.gov/dnav/ng/ng_cons_sum_a_epg0_vc0_mmcf_a.htm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6"/>
  <sheetViews>
    <sheetView tabSelected="1" workbookViewId="0">
      <selection activeCell="C26" sqref="C26"/>
    </sheetView>
  </sheetViews>
  <sheetFormatPr defaultRowHeight="14.4" x14ac:dyDescent="0.3"/>
  <cols>
    <col min="2" max="2" width="14.33203125" bestFit="1" customWidth="1"/>
    <col min="3" max="3" width="15" bestFit="1" customWidth="1"/>
    <col min="4" max="4" width="11" bestFit="1" customWidth="1"/>
  </cols>
  <sheetData>
    <row r="1" spans="1:5" s="1" customFormat="1" x14ac:dyDescent="0.3">
      <c r="A1" s="1" t="s">
        <v>1</v>
      </c>
      <c r="B1" s="1" t="s">
        <v>0</v>
      </c>
      <c r="C1" s="1" t="s">
        <v>2</v>
      </c>
      <c r="D1" s="1" t="s">
        <v>3</v>
      </c>
    </row>
    <row r="2" spans="1:5" x14ac:dyDescent="0.3">
      <c r="A2">
        <v>2010</v>
      </c>
      <c r="B2">
        <v>67636</v>
      </c>
    </row>
    <row r="3" spans="1:5" x14ac:dyDescent="0.3">
      <c r="A3">
        <v>2011</v>
      </c>
      <c r="B3">
        <v>68710</v>
      </c>
      <c r="C3">
        <f>B3-B2</f>
        <v>1074</v>
      </c>
      <c r="D3" s="2">
        <f>C3/B2</f>
        <v>1.5879117629664676E-2</v>
      </c>
    </row>
    <row r="4" spans="1:5" x14ac:dyDescent="0.3">
      <c r="A4">
        <v>2012</v>
      </c>
      <c r="B4">
        <v>69529</v>
      </c>
      <c r="C4">
        <f t="shared" ref="C4:C11" si="0">B4-B3</f>
        <v>819</v>
      </c>
      <c r="D4" s="2">
        <f t="shared" ref="D4:D12" si="1">C4/B3</f>
        <v>1.1919662349003057E-2</v>
      </c>
    </row>
    <row r="5" spans="1:5" x14ac:dyDescent="0.3">
      <c r="A5">
        <v>2013</v>
      </c>
      <c r="B5">
        <v>70702</v>
      </c>
      <c r="C5">
        <f t="shared" si="0"/>
        <v>1173</v>
      </c>
      <c r="D5" s="2">
        <f t="shared" si="1"/>
        <v>1.6870658286470393E-2</v>
      </c>
    </row>
    <row r="6" spans="1:5" x14ac:dyDescent="0.3">
      <c r="A6">
        <v>2014</v>
      </c>
      <c r="B6">
        <v>73156</v>
      </c>
      <c r="C6">
        <f t="shared" si="0"/>
        <v>2454</v>
      </c>
      <c r="D6" s="2">
        <f t="shared" si="1"/>
        <v>3.4709060564057592E-2</v>
      </c>
    </row>
    <row r="7" spans="1:5" x14ac:dyDescent="0.3">
      <c r="A7">
        <v>2015</v>
      </c>
      <c r="B7">
        <v>75160</v>
      </c>
      <c r="C7">
        <f t="shared" si="0"/>
        <v>2004</v>
      </c>
      <c r="D7" s="2">
        <f t="shared" si="1"/>
        <v>2.7393515227732517E-2</v>
      </c>
    </row>
    <row r="8" spans="1:5" x14ac:dyDescent="0.3">
      <c r="A8">
        <v>2016</v>
      </c>
      <c r="B8">
        <v>76869</v>
      </c>
      <c r="C8">
        <f t="shared" si="0"/>
        <v>1709</v>
      </c>
      <c r="D8" s="2">
        <f t="shared" si="1"/>
        <v>2.2738158594997337E-2</v>
      </c>
    </row>
    <row r="9" spans="1:5" x14ac:dyDescent="0.3">
      <c r="A9">
        <v>2017</v>
      </c>
      <c r="B9">
        <v>78652</v>
      </c>
      <c r="C9">
        <f t="shared" si="0"/>
        <v>1783</v>
      </c>
      <c r="D9" s="2">
        <f t="shared" si="1"/>
        <v>2.3195306300329132E-2</v>
      </c>
    </row>
    <row r="10" spans="1:5" x14ac:dyDescent="0.3">
      <c r="A10">
        <v>2018</v>
      </c>
      <c r="B10">
        <v>81159</v>
      </c>
      <c r="C10">
        <f t="shared" si="0"/>
        <v>2507</v>
      </c>
      <c r="D10" s="2">
        <f t="shared" si="1"/>
        <v>3.1874586787367133E-2</v>
      </c>
    </row>
    <row r="11" spans="1:5" x14ac:dyDescent="0.3">
      <c r="A11">
        <v>2019</v>
      </c>
      <c r="B11">
        <v>84204</v>
      </c>
      <c r="C11">
        <f t="shared" si="0"/>
        <v>3045</v>
      </c>
      <c r="D11" s="2">
        <f t="shared" si="1"/>
        <v>3.7518944294532952E-2</v>
      </c>
    </row>
    <row r="12" spans="1:5" x14ac:dyDescent="0.3">
      <c r="A12">
        <v>2020</v>
      </c>
      <c r="B12">
        <v>88032</v>
      </c>
      <c r="C12">
        <f>B12-B11</f>
        <v>3828</v>
      </c>
      <c r="D12" s="2">
        <f t="shared" si="1"/>
        <v>4.5461023229300269E-2</v>
      </c>
    </row>
    <row r="13" spans="1:5" x14ac:dyDescent="0.3">
      <c r="D13" s="2">
        <f>AVERAGE(D3:D12)</f>
        <v>2.6756003326345507E-2</v>
      </c>
      <c r="E13" t="s">
        <v>4</v>
      </c>
    </row>
    <row r="14" spans="1:5" x14ac:dyDescent="0.3">
      <c r="D14" s="2"/>
    </row>
    <row r="15" spans="1:5" x14ac:dyDescent="0.3">
      <c r="A15">
        <v>2021</v>
      </c>
      <c r="B15">
        <v>91020</v>
      </c>
      <c r="C15">
        <f>B15-B12</f>
        <v>2988</v>
      </c>
      <c r="D15" s="2">
        <f>C15/B12</f>
        <v>3.3942202835332606E-2</v>
      </c>
    </row>
    <row r="16" spans="1:5" x14ac:dyDescent="0.3">
      <c r="D16" s="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32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F8" sqref="F8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6" width="13.44140625" style="12" customWidth="1"/>
    <col min="17" max="16384" width="9.10937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+[61]INPUT_Date.Etc!B7</f>
        <v>For the Twelve Months ended December 31, 2019 and 2018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+VLOOKUP([61]INPUT_Date.Etc!$B$4,[61]INPUT_Date.Etc!$A$14:$P$25,[61]INPUT_Date.Etc!$I$12)</f>
        <v>Actual customers for the Month of December 2019</v>
      </c>
      <c r="E6" s="16"/>
      <c r="F6" s="17"/>
      <c r="K6" s="15" t="str">
        <f>+VLOOKUP([61]INPUT_Date.Etc!$B$4,[61]INPUT_Date.Etc!$A$14:$P$25,[61]INPUT_Date.Etc!$J$12)</f>
        <v>Actual customers for the Month of December 2018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+HLOOKUP([61]INPUT_Date.Etc!$B$4,[61]Delaware!$A$4:$P$57,2, FALSE)</f>
        <v>54885</v>
      </c>
      <c r="C8" s="22">
        <f>+HLOOKUP([61]INPUT_Date.Etc!$B$4,[61]Maryland!$A$4:$P$57,2, FALSE)</f>
        <v>11380</v>
      </c>
      <c r="D8" s="22">
        <f>+HLOOKUP([61]INPUT_Date.Etc!$B$4,[61]Sandpiper!$A$4:$P$57,2, FALSE)</f>
        <v>9754</v>
      </c>
      <c r="E8" s="22">
        <f>+HLOOKUP([61]INPUT_Date.Etc!$B$4,[61]CFG!$A$4:$P$57,2, FALSE)</f>
        <v>17607</v>
      </c>
      <c r="F8" s="22">
        <f>+HLOOKUP([61]INPUT_Date.Etc!$B$4,[61]FPUNG!$A$4:$P$116,2, FALSE)</f>
        <v>58571</v>
      </c>
      <c r="G8" s="22">
        <f>+HLOOKUP([61]INPUT_Date.Etc!$B$4,[61]Electric!$A$4:$P$45,2, FALSE)</f>
        <v>24751</v>
      </c>
      <c r="H8" s="22">
        <v>0</v>
      </c>
      <c r="I8" s="23"/>
      <c r="J8" s="22">
        <f>+HLOOKUP([61]INPUT_Date.Etc!$B$4,[61]Delaware!$T$4:$AI$52,2, FALSE)</f>
        <v>52231</v>
      </c>
      <c r="K8" s="22">
        <f>+HLOOKUP([61]INPUT_Date.Etc!$B$4,[61]Maryland!$T$4:$AI$52,2, FALSE)</f>
        <v>11216</v>
      </c>
      <c r="L8" s="22">
        <f>+HLOOKUP([61]INPUT_Date.Etc!$B$4,[61]Sandpiper!$T$4:$AI$52,2, FALSE)</f>
        <v>9672</v>
      </c>
      <c r="M8" s="22">
        <f>+HLOOKUP([61]INPUT_Date.Etc!$B$4,[61]CFG!$T$4:$AI$52,2, FALSE)</f>
        <v>16822</v>
      </c>
      <c r="N8" s="22">
        <f>+HLOOKUP([61]INPUT_Date.Etc!$B$4,[61]FPUNG!$T$4:$AI$116,2, FALSE)</f>
        <v>56414</v>
      </c>
      <c r="O8" s="22">
        <f>+HLOOKUP([61]INPUT_Date.Etc!$B$4,[61]Electric!$T$4:$AI$45,2, FALSE)</f>
        <v>24571</v>
      </c>
      <c r="P8" s="22">
        <v>0</v>
      </c>
    </row>
    <row r="9" spans="1:18" x14ac:dyDescent="0.25">
      <c r="A9" s="12" t="s">
        <v>18</v>
      </c>
      <c r="B9" s="22">
        <f>+HLOOKUP([61]INPUT_Date.Etc!$B$4,[61]Delaware!$A$4:$P$57,3, FALSE)</f>
        <v>4193</v>
      </c>
      <c r="C9" s="22">
        <f>+HLOOKUP([61]INPUT_Date.Etc!$B$4,[61]Maryland!$A$4:$P$57,3, FALSE)</f>
        <v>1926</v>
      </c>
      <c r="D9" s="22">
        <f>+HLOOKUP([61]INPUT_Date.Etc!$B$4,[61]Sandpiper!$A$4:$P$57,3, FALSE)</f>
        <v>1090</v>
      </c>
      <c r="E9" s="22">
        <f>+HLOOKUP([61]INPUT_Date.Etc!$B$4,[61]CFG!$A$4:$P$57,3, FALSE)</f>
        <v>1568</v>
      </c>
      <c r="F9" s="22">
        <f>+HLOOKUP([61]INPUT_Date.Etc!$B$4,[61]FPUNG!$A$4:$P$116,3, FALSE)</f>
        <v>3961</v>
      </c>
      <c r="G9" s="22">
        <f>+HLOOKUP([61]INPUT_Date.Etc!$B$4,[61]Electric!$A$4:$P$45,3, FALSE)</f>
        <v>7273</v>
      </c>
      <c r="H9" s="22">
        <f>+HLOOKUP([61]INPUT_Date.Etc!$B$4,[61]ESNG!$E$4:$P$11,3, FALSE)</f>
        <v>0</v>
      </c>
      <c r="I9" s="23"/>
      <c r="J9" s="22">
        <f>+HLOOKUP([61]INPUT_Date.Etc!$B$4,[61]Delaware!$T$4:$AI$52,3, FALSE)</f>
        <v>4117</v>
      </c>
      <c r="K9" s="22">
        <f>+HLOOKUP([61]INPUT_Date.Etc!$B$4,[61]Maryland!$T$4:$AI$52,3, FALSE)</f>
        <v>1891</v>
      </c>
      <c r="L9" s="22">
        <f>+HLOOKUP([61]INPUT_Date.Etc!$B$4,[61]Sandpiper!$T$4:$AI$52,3, FALSE)</f>
        <v>1078</v>
      </c>
      <c r="M9" s="22">
        <f>+HLOOKUP([61]INPUT_Date.Etc!$B$4,[61]CFG!$T$4:$AI$52,3, FALSE)</f>
        <v>1602</v>
      </c>
      <c r="N9" s="22">
        <f>+HLOOKUP([61]INPUT_Date.Etc!$B$4,[61]FPUNG!$T$4:$AI$116,3, FALSE)</f>
        <v>3889</v>
      </c>
      <c r="O9" s="22">
        <f>+HLOOKUP([61]INPUT_Date.Etc!$B$4,[61]Electric!$T$4:$AI$45,3, FALSE)</f>
        <v>7514</v>
      </c>
      <c r="P9" s="22">
        <v>0</v>
      </c>
    </row>
    <row r="10" spans="1:18" x14ac:dyDescent="0.25">
      <c r="A10" s="12" t="s">
        <v>19</v>
      </c>
      <c r="B10" s="22">
        <f>+HLOOKUP([61]INPUT_Date.Etc!$B$4,[61]Delaware!$A$4:$P$57,4, FALSE)</f>
        <v>96</v>
      </c>
      <c r="C10" s="22">
        <f>+HLOOKUP([61]INPUT_Date.Etc!$B$4,[61]Maryland!$A$4:$P$57,4, FALSE)</f>
        <v>46</v>
      </c>
      <c r="D10" s="22">
        <f>+HLOOKUP([61]INPUT_Date.Etc!$B$4,[61]Sandpiper!$A$4:$P$57,4, FALSE)</f>
        <v>29</v>
      </c>
      <c r="E10" s="22">
        <f>+HLOOKUP([61]INPUT_Date.Etc!$B$4,[61]CFG!$A$4:$P$57,4, FALSE)</f>
        <v>16</v>
      </c>
      <c r="F10" s="22">
        <f>+HLOOKUP([61]INPUT_Date.Etc!$B$4,[61]FPUNG!$A$4:$P$116,4, FALSE)</f>
        <v>2465</v>
      </c>
      <c r="G10" s="22">
        <f>+HLOOKUP([61]INPUT_Date.Etc!$B$4,[61]Electric!$A$4:$P$45,4, FALSE)</f>
        <v>2</v>
      </c>
      <c r="H10" s="22">
        <v>0</v>
      </c>
      <c r="I10" s="23"/>
      <c r="J10" s="22">
        <f>+HLOOKUP([61]INPUT_Date.Etc!$B$4,[61]Delaware!$T$4:$AI$52,4, FALSE)</f>
        <v>93</v>
      </c>
      <c r="K10" s="22">
        <f>+HLOOKUP([61]INPUT_Date.Etc!$B$4,[61]Maryland!$T$4:$AI$52,4, FALSE)</f>
        <v>44</v>
      </c>
      <c r="L10" s="22">
        <f>+HLOOKUP([61]INPUT_Date.Etc!$B$4,[61]Sandpiper!$T$4:$AI$52,4, FALSE)</f>
        <v>24</v>
      </c>
      <c r="M10" s="22">
        <f>+HLOOKUP([61]INPUT_Date.Etc!$B$4,[61]CFG!$T$4:$AI$52,4, FALSE)</f>
        <v>17</v>
      </c>
      <c r="N10" s="22">
        <f>+HLOOKUP([61]INPUT_Date.Etc!$B$4,[61]FPUNG!$T$4:$AI$116,4, FALSE)</f>
        <v>2403</v>
      </c>
      <c r="O10" s="22">
        <f>+HLOOKUP([61]INPUT_Date.Etc!$B$4,[61]Electric!$T$4:$AI$45,4,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+HLOOKUP([61]INPUT_Date.Etc!$B$4,[61]ESNG!$A$4:$P$72,4, FALSE)</f>
        <v>15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+HLOOKUP([61]INPUT_Date.Etc!$B$4,[61]ESNG!$T$4:$AI$58,4, FALSE)</f>
        <v>17</v>
      </c>
    </row>
    <row r="12" spans="1:18" x14ac:dyDescent="0.25">
      <c r="A12" s="10" t="s">
        <v>21</v>
      </c>
      <c r="B12" s="22">
        <f>+HLOOKUP([61]INPUT_Date.Etc!$B$4,[61]Delaware!$A$4:$P$57,5, FALSE)</f>
        <v>17</v>
      </c>
      <c r="C12" s="22">
        <f>+HLOOKUP([61]INPUT_Date.Etc!$B$4,[61]Maryland!$A$4:$P$57,5, FALSE)</f>
        <v>0</v>
      </c>
      <c r="D12" s="22">
        <f>+HLOOKUP([61]INPUT_Date.Etc!$B$4,[61]Sandpiper!$A$4:$P$57,5, FALSE)</f>
        <v>0</v>
      </c>
      <c r="E12" s="22">
        <f>+HLOOKUP([61]INPUT_Date.Etc!$B$4,[61]CFG!$A$4:$P$57,5, FALSE)</f>
        <v>0</v>
      </c>
      <c r="F12" s="22">
        <f>+HLOOKUP([61]INPUT_Date.Etc!$B$4,[61]FPUNG!$A$4:$P$116,5, FALSE)</f>
        <v>12</v>
      </c>
      <c r="G12" s="22">
        <f>+HLOOKUP([61]INPUT_Date.Etc!$B$4,[61]Electric!$A$4:$P$45,5, FALSE)</f>
        <v>0</v>
      </c>
      <c r="H12" s="22">
        <v>0</v>
      </c>
      <c r="I12" s="23"/>
      <c r="J12" s="22">
        <f>+HLOOKUP([61]INPUT_Date.Etc!$B$4,[61]Delaware!$T$4:$AI$52,5, FALSE)</f>
        <v>5</v>
      </c>
      <c r="K12" s="22">
        <f>+HLOOKUP([61]INPUT_Date.Etc!$B$4,[61]Maryland!$T$4:$AI$52,5, FALSE)</f>
        <v>0</v>
      </c>
      <c r="L12" s="22">
        <f>+HLOOKUP([61]INPUT_Date.Etc!$B$4,[61]Sandpiper!$A$4:$P$57,5, FALSE)</f>
        <v>0</v>
      </c>
      <c r="M12" s="22">
        <f>+HLOOKUP([61]INPUT_Date.Etc!$B$4,[61]CFG!$T$4:$AI$52,5, FALSE)</f>
        <v>0</v>
      </c>
      <c r="N12" s="22">
        <f>+HLOOKUP([61]INPUT_Date.Etc!$B$4,[61]FPUNG!$A$4:$P$116,5, FALSE)</f>
        <v>12</v>
      </c>
      <c r="O12" s="22">
        <f>+HLOOKUP([61]INPUT_Date.Etc!$B$4,[61]Electric!$T$4:$AI$45,5,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+[61]Delaware!N10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+HLOOKUP([61]INPUT_Date.Etc!$B$4,[61]ESNG!$A$4:$P$72,5, FALSE)</f>
        <v>-3</v>
      </c>
      <c r="I13" s="23"/>
      <c r="J13" s="22">
        <f>+[61]Delaware!V10</f>
        <v>0</v>
      </c>
      <c r="K13" s="22">
        <f>+[61]Maryland!W10</f>
        <v>0</v>
      </c>
      <c r="L13" s="22">
        <v>0</v>
      </c>
      <c r="M13" s="22">
        <f>+[61]CFG!Y10</f>
        <v>0</v>
      </c>
      <c r="N13" s="24">
        <v>0</v>
      </c>
      <c r="O13" s="22">
        <v>0</v>
      </c>
      <c r="P13" s="22">
        <f>+HLOOKUP([61]INPUT_Date.Etc!$B$4,[61]ESNG!$T$4:$AI$58,5, FALSE)</f>
        <v>-3</v>
      </c>
    </row>
    <row r="14" spans="1:18" ht="13.8" thickBot="1" x14ac:dyDescent="0.3">
      <c r="A14" s="26" t="s">
        <v>23</v>
      </c>
      <c r="B14" s="27">
        <f t="shared" ref="B14:H14" si="0">SUM(B8:B13)</f>
        <v>59191</v>
      </c>
      <c r="C14" s="27">
        <f t="shared" si="0"/>
        <v>13352</v>
      </c>
      <c r="D14" s="27">
        <f t="shared" si="0"/>
        <v>10873</v>
      </c>
      <c r="E14" s="27">
        <f t="shared" si="0"/>
        <v>19191</v>
      </c>
      <c r="F14" s="27">
        <f t="shared" si="0"/>
        <v>65009</v>
      </c>
      <c r="G14" s="27">
        <f t="shared" si="0"/>
        <v>32026</v>
      </c>
      <c r="H14" s="27">
        <f t="shared" si="0"/>
        <v>12</v>
      </c>
      <c r="I14" s="23"/>
      <c r="J14" s="27">
        <f t="shared" ref="J14:P14" si="1">SUM(J8:J13)</f>
        <v>56446</v>
      </c>
      <c r="K14" s="27">
        <f t="shared" si="1"/>
        <v>13151</v>
      </c>
      <c r="L14" s="27">
        <f>SUM(L8:L13)</f>
        <v>10774</v>
      </c>
      <c r="M14" s="27">
        <f t="shared" si="1"/>
        <v>18441</v>
      </c>
      <c r="N14" s="27">
        <f t="shared" si="1"/>
        <v>62718</v>
      </c>
      <c r="O14" s="27">
        <f t="shared" si="1"/>
        <v>32087</v>
      </c>
      <c r="P14" s="27">
        <f t="shared" si="1"/>
        <v>14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+VLOOKUP([61]INPUT_Date.Etc!$B$4,[61]INPUT_Date.Etc!$A$14:$P$25,[61]INPUT_Date.Etc!$K$12)</f>
        <v>Average customers for the Twelve Months ended December 31, 2019</v>
      </c>
      <c r="E17" s="28"/>
      <c r="F17" s="28"/>
      <c r="G17" s="28"/>
      <c r="H17" s="23"/>
      <c r="I17" s="23"/>
      <c r="J17" s="23"/>
      <c r="K17" s="15" t="str">
        <f>+VLOOKUP([61]INPUT_Date.Etc!$B$4,[61]INPUT_Date.Etc!$A$14:$P$25,[61]INPUT_Date.Etc!$L$12)</f>
        <v>Average customers for the Twelve Months ended December 31, 2018</v>
      </c>
      <c r="L17" s="15" t="str">
        <f>+VLOOKUP([61]INPUT_Date.Etc!$B$4,[61]INPUT_Date.Etc!$A$14:$P$25,[61]INPUT_Date.Etc!$K$12)</f>
        <v>Average customers for the Twelve Months ended December 31, 2019</v>
      </c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+HLOOKUP([61]INPUT_Date.Etc!$B$4,[61]Delaware!$A$4:$P$57,31, FALSE)</f>
        <v>53205</v>
      </c>
      <c r="C19" s="23">
        <f>+HLOOKUP([61]INPUT_Date.Etc!$B$4,[61]Maryland!$A$4:$P$57,31, FALSE)</f>
        <v>11119</v>
      </c>
      <c r="D19" s="23">
        <f>+HLOOKUP([61]INPUT_Date.Etc!$B$4,[61]Sandpiper!$A$4:$P$57,31, FALSE)</f>
        <v>9671</v>
      </c>
      <c r="E19" s="23">
        <f>+HLOOKUP([61]INPUT_Date.Etc!$B$4,[61]CFG!$A$4:$P$57,31, FALSE)</f>
        <v>17262</v>
      </c>
      <c r="F19" s="22">
        <f>+HLOOKUP([61]INPUT_Date.Etc!$B$4,[61]FPUNG!$A$4:$P$116,88, FALSE)</f>
        <v>57653</v>
      </c>
      <c r="G19" s="22">
        <f>+HLOOKUP([61]INPUT_Date.Etc!$B$4,[61]Electric!$A$4:$P$45,24, FALSE)</f>
        <v>24573</v>
      </c>
      <c r="H19" s="22">
        <v>0</v>
      </c>
      <c r="I19" s="23"/>
      <c r="J19" s="22">
        <f>+HLOOKUP([61]INPUT_Date.Etc!$B$4,[61]Delaware!$T$4:$AI$52,31, FALSE)</f>
        <v>50675</v>
      </c>
      <c r="K19" s="22">
        <f>+HLOOKUP([61]INPUT_Date.Etc!$B$4,[61]Maryland!$T$4:$AI$52,31, FALSE)</f>
        <v>11032</v>
      </c>
      <c r="L19" s="22">
        <f>+HLOOKUP([61]INPUT_Date.Etc!$B$4,[61]Sandpiper!$A$4:$P$57,31, FALSE)</f>
        <v>9671</v>
      </c>
      <c r="M19" s="22">
        <f>+HLOOKUP([61]INPUT_Date.Etc!$B$4,[61]CFG!$T$4:$AI$52,31, FALSE)</f>
        <v>16450</v>
      </c>
      <c r="N19" s="22">
        <f>+HLOOKUP([61]INPUT_Date.Etc!$B$4,[61]FPUNG!$T$4:$AI$116,88, FALSE)</f>
        <v>55701</v>
      </c>
      <c r="O19" s="22">
        <f>+HLOOKUP([61]INPUT_Date.Etc!$B$4,[61]Electric!$T$4:$AI$45,24, FALSE)</f>
        <v>24686</v>
      </c>
      <c r="P19" s="22">
        <v>0</v>
      </c>
    </row>
    <row r="20" spans="1:16" x14ac:dyDescent="0.25">
      <c r="A20" s="12" t="s">
        <v>18</v>
      </c>
      <c r="B20" s="23">
        <f>+HLOOKUP([61]INPUT_Date.Etc!$B$4,[61]Delaware!$A$4:$P$57,32, FALSE)</f>
        <v>4109</v>
      </c>
      <c r="C20" s="23">
        <f>+HLOOKUP([61]INPUT_Date.Etc!$B$4,[61]Maryland!$A$4:$P$57,32, FALSE)</f>
        <v>1897</v>
      </c>
      <c r="D20" s="23">
        <f>+HLOOKUP([61]INPUT_Date.Etc!$B$4,[61]Sandpiper!$A$4:$P$57,32, FALSE)</f>
        <v>1091</v>
      </c>
      <c r="E20" s="23">
        <f>+HLOOKUP([61]INPUT_Date.Etc!$B$4,[61]CFG!$A$4:$P$57,32, FALSE)</f>
        <v>1546</v>
      </c>
      <c r="F20" s="22">
        <f>+HLOOKUP([61]INPUT_Date.Etc!$B$4,[61]FPUNG!$A$4:$P$116,89, FALSE)</f>
        <v>3932</v>
      </c>
      <c r="G20" s="22">
        <f>+HLOOKUP([61]INPUT_Date.Etc!$B$4,[61]Electric!$A$4:$P$45,25, FALSE)</f>
        <v>7243</v>
      </c>
      <c r="H20" s="22">
        <f>+HLOOKUP([61]INPUT_Date.Etc!$B$4,[61]ESNG!$E$4:$P$11,3, FALSE)</f>
        <v>0</v>
      </c>
      <c r="I20" s="23"/>
      <c r="J20" s="22">
        <f>+HLOOKUP([61]INPUT_Date.Etc!$B$4,[61]Delaware!$T$4:$AI$52,32, FALSE)</f>
        <v>4030</v>
      </c>
      <c r="K20" s="22">
        <f>+HLOOKUP([61]INPUT_Date.Etc!$B$4,[61]Maryland!$T$4:$AI$52,32, FALSE)</f>
        <v>1874</v>
      </c>
      <c r="L20" s="22">
        <f>+HLOOKUP([61]INPUT_Date.Etc!$B$4,[61]Sandpiper!$A$4:$P$57,32, FALSE)</f>
        <v>1091</v>
      </c>
      <c r="M20" s="22">
        <f>+HLOOKUP([61]INPUT_Date.Etc!$B$4,[61]CFG!$T$4:$AI$52,32, FALSE)</f>
        <v>1519</v>
      </c>
      <c r="N20" s="22">
        <f>+HLOOKUP([61]INPUT_Date.Etc!$B$4,[61]FPUNG!$T$4:$AI$116,89, FALSE)</f>
        <v>3915</v>
      </c>
      <c r="O20" s="22">
        <f>+HLOOKUP([61]INPUT_Date.Etc!$B$4,[61]Electric!$T$4:$AI$45,25, FALSE)</f>
        <v>7497</v>
      </c>
      <c r="P20" s="22">
        <v>0</v>
      </c>
    </row>
    <row r="21" spans="1:16" x14ac:dyDescent="0.25">
      <c r="A21" s="12" t="s">
        <v>26</v>
      </c>
      <c r="B21" s="23">
        <f>+HLOOKUP([61]INPUT_Date.Etc!$B$4,[61]Delaware!$A$4:$P$57,33, FALSE)</f>
        <v>95</v>
      </c>
      <c r="C21" s="23">
        <f>+HLOOKUP([61]INPUT_Date.Etc!$B$4,[61]Maryland!$A$4:$P$57,33, FALSE)</f>
        <v>46</v>
      </c>
      <c r="D21" s="23">
        <f>+HLOOKUP([61]INPUT_Date.Etc!$B$4,[61]Sandpiper!$A$4:$P$57,33, FALSE)</f>
        <v>28</v>
      </c>
      <c r="E21" s="23">
        <f>+HLOOKUP([61]INPUT_Date.Etc!$B$4,[61]CFG!$A$4:$P$57,33, FALSE)</f>
        <v>17</v>
      </c>
      <c r="F21" s="22">
        <f>+HLOOKUP([61]INPUT_Date.Etc!$B$4,[61]FPUNG!$A$4:$P$116,90, FALSE)</f>
        <v>2436</v>
      </c>
      <c r="G21" s="22">
        <f>+HLOOKUP([61]INPUT_Date.Etc!$B$4,[61]Electric!$A$4:$P$45,26, FALSE)</f>
        <v>2</v>
      </c>
      <c r="H21" s="22">
        <v>0</v>
      </c>
      <c r="I21" s="23"/>
      <c r="J21" s="22">
        <f>+HLOOKUP([61]INPUT_Date.Etc!$B$4,[61]Delaware!$T$4:$AI$52,33, FALSE)</f>
        <v>91</v>
      </c>
      <c r="K21" s="22">
        <f>+HLOOKUP([61]INPUT_Date.Etc!$B$4,[61]Maryland!$T$4:$AI$52,33, FALSE)</f>
        <v>44</v>
      </c>
      <c r="L21" s="22">
        <f>+HLOOKUP([61]INPUT_Date.Etc!$B$4,[61]Sandpiper!$A$4:$P$57,33, FALSE)</f>
        <v>28</v>
      </c>
      <c r="M21" s="22">
        <f>+HLOOKUP([61]INPUT_Date.Etc!$B$4,[61]CFG!$T$4:$AI$52,33, FALSE)</f>
        <v>16</v>
      </c>
      <c r="N21" s="22">
        <f>+HLOOKUP([61]INPUT_Date.Etc!$B$4,[61]FPUNG!$T$4:$AI$116,90, FALSE)</f>
        <v>2312</v>
      </c>
      <c r="O21" s="22">
        <f>+HLOOKUP([61]INPUT_Date.Etc!$B$4,[61]Electric!$T$4:$AI$45,26,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+HLOOKUP([61]INPUT_Date.Etc!$B$4,[61]ESNG!$A$4:$P$72,40, FALSE)</f>
        <v>15.666666666666666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+HLOOKUP([61]INPUT_Date.Etc!$B$4,[61]ESNG!$T$4:$AI$58,40, FALSE)</f>
        <v>17.25</v>
      </c>
    </row>
    <row r="23" spans="1:16" s="10" customFormat="1" x14ac:dyDescent="0.25">
      <c r="A23" s="10" t="s">
        <v>21</v>
      </c>
      <c r="B23" s="23">
        <f>+HLOOKUP([61]INPUT_Date.Etc!$B$4,[61]Delaware!$A$4:$P$57,34, FALSE)</f>
        <v>15</v>
      </c>
      <c r="C23" s="23">
        <f>+HLOOKUP([61]INPUT_Date.Etc!$B$4,[61]Maryland!$A$4:$P$57,34, FALSE)</f>
        <v>0</v>
      </c>
      <c r="D23" s="23">
        <f>+HLOOKUP([61]INPUT_Date.Etc!$B$4,[61]Sandpiper!$A$4:$P$57,34, FALSE)</f>
        <v>0</v>
      </c>
      <c r="E23" s="23">
        <f>+HLOOKUP([61]INPUT_Date.Etc!$B$4,[61]CFG!$A$4:$P$57,34, FALSE)</f>
        <v>0</v>
      </c>
      <c r="F23" s="22">
        <f>+HLOOKUP([61]INPUT_Date.Etc!$B$4,[61]FPUNG!$A$4:$P$116,91, FALSE)</f>
        <v>12</v>
      </c>
      <c r="G23" s="22">
        <f>+HLOOKUP([61]INPUT_Date.Etc!$B$4,[61]Electric!$A$4:$P$45,27, FALSE)</f>
        <v>0</v>
      </c>
      <c r="H23" s="22">
        <v>0</v>
      </c>
      <c r="I23" s="23"/>
      <c r="J23" s="22">
        <f>+HLOOKUP([61]INPUT_Date.Etc!$B$4,[61]Delaware!$T$4:$AI$52,34, FALSE)</f>
        <v>5</v>
      </c>
      <c r="K23" s="22">
        <f>+HLOOKUP([61]INPUT_Date.Etc!$B$4,[61]Maryland!$T$4:$AI$52,34, FALSE)</f>
        <v>0</v>
      </c>
      <c r="L23" s="22">
        <f>+HLOOKUP([61]INPUT_Date.Etc!$B$4,[61]Sandpiper!$A$4:$P$57,34, FALSE)</f>
        <v>0</v>
      </c>
      <c r="M23" s="22">
        <f>+HLOOKUP([61]INPUT_Date.Etc!$B$4,[61]CFG!$T$4:$AI$52,34, FALSE)</f>
        <v>0</v>
      </c>
      <c r="N23" s="22">
        <f>+HLOOKUP([61]INPUT_Date.Etc!$B$4,[61]FPUNG!$A$4:$P$116,91, FALSE)</f>
        <v>12</v>
      </c>
      <c r="O23" s="22">
        <f>+HLOOKUP([61]INPUT_Date.Etc!$B$4,[61]Electric!$T$4:$AI$45,27,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+HLOOKUP([61]INPUT_Date.Etc!$B$4,[61]ESNG!$A$4:$P$72,41, FALSE)</f>
        <v>-3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+HLOOKUP([61]INPUT_Date.Etc!$B$4,[61]ESNG!$T$4:$AI$58,41, FALSE)</f>
        <v>-3</v>
      </c>
    </row>
    <row r="25" spans="1:16" ht="13.8" thickBot="1" x14ac:dyDescent="0.3">
      <c r="A25" s="26" t="s">
        <v>27</v>
      </c>
      <c r="B25" s="27">
        <f t="shared" ref="B25:H25" si="2">SUM(B19:B24)</f>
        <v>57424</v>
      </c>
      <c r="C25" s="27">
        <f t="shared" si="2"/>
        <v>13062</v>
      </c>
      <c r="D25" s="27">
        <f t="shared" si="2"/>
        <v>10790</v>
      </c>
      <c r="E25" s="27">
        <f t="shared" si="2"/>
        <v>18825</v>
      </c>
      <c r="F25" s="27">
        <f t="shared" si="2"/>
        <v>64033</v>
      </c>
      <c r="G25" s="27">
        <f t="shared" si="2"/>
        <v>31818</v>
      </c>
      <c r="H25" s="27">
        <f t="shared" si="2"/>
        <v>12.666666666666666</v>
      </c>
      <c r="I25" s="23"/>
      <c r="J25" s="27">
        <f t="shared" ref="J25:P25" si="3">SUM(J19:J24)</f>
        <v>54801</v>
      </c>
      <c r="K25" s="27">
        <f t="shared" si="3"/>
        <v>12950</v>
      </c>
      <c r="L25" s="27">
        <f>SUM(L19:L24)</f>
        <v>10790</v>
      </c>
      <c r="M25" s="27">
        <f t="shared" si="3"/>
        <v>17985</v>
      </c>
      <c r="N25" s="27">
        <f t="shared" si="3"/>
        <v>61940</v>
      </c>
      <c r="O25" s="27">
        <f t="shared" si="3"/>
        <v>32185</v>
      </c>
      <c r="P25" s="27">
        <f t="shared" si="3"/>
        <v>14.25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</row>
  </sheetData>
  <sheetProtection password="EF28" sheet="1" objects="1" scenarios="1"/>
  <pageMargins left="0.45" right="0.45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32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M4" sqref="M4"/>
    </sheetView>
  </sheetViews>
  <sheetFormatPr defaultColWidth="9.44140625" defaultRowHeight="13.2" x14ac:dyDescent="0.25"/>
  <cols>
    <col min="1" max="1" width="27.554687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5546875" style="10" customWidth="1"/>
    <col min="10" max="16" width="13.44140625" style="12" customWidth="1"/>
    <col min="17" max="16384" width="9.4414062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+[62]INPUT_Date.Etc!B7</f>
        <v>For the Twelve Months ended December 31, 2020 and 2019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+VLOOKUP([62]INPUT_Date.Etc!$B$4,[62]INPUT_Date.Etc!$A$14:$P$25,[62]INPUT_Date.Etc!$I$12)</f>
        <v>Actual customers for the Month of December 2020</v>
      </c>
      <c r="E6" s="16"/>
      <c r="F6" s="17"/>
      <c r="K6" s="15" t="str">
        <f>+VLOOKUP([62]INPUT_Date.Etc!$B$4,[62]INPUT_Date.Etc!$A$14:$P$25,[62]INPUT_Date.Etc!$J$12)</f>
        <v>Actual customers for the Month of December 2019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+HLOOKUP([62]INPUT_Date.Etc!$B$4,[62]Delaware!$A$4:$P$57,2, FALSE)</f>
        <v>58089</v>
      </c>
      <c r="C8" s="22">
        <f>+HLOOKUP([62]INPUT_Date.Etc!$B$4,[62]Maryland!$A$4:$P$57,2, FALSE)</f>
        <v>11599</v>
      </c>
      <c r="D8" s="22">
        <f>+HLOOKUP([62]INPUT_Date.Etc!$B$4,[62]Sandpiper!$A$4:$P$57,2, FALSE)</f>
        <v>9958</v>
      </c>
      <c r="E8" s="22">
        <f>+HLOOKUP([62]INPUT_Date.Etc!$B$4,[62]CFG!$A$4:$P$57,2, FALSE)</f>
        <v>18483</v>
      </c>
      <c r="F8" s="22">
        <f>+HLOOKUP([62]INPUT_Date.Etc!$B$4,[62]FPUNG!$A$4:$P$116,2, FALSE)</f>
        <v>61385</v>
      </c>
      <c r="G8" s="22">
        <f>+HLOOKUP([62]INPUT_Date.Etc!$B$4,[62]Electric!$A$4:$P$45,2, FALSE)</f>
        <v>25230</v>
      </c>
      <c r="H8" s="22">
        <v>0</v>
      </c>
      <c r="I8" s="23"/>
      <c r="J8" s="22">
        <f>+HLOOKUP([62]INPUT_Date.Etc!$B$4,[62]Delaware!$T$4:$AI$52,2, FALSE)</f>
        <v>54885</v>
      </c>
      <c r="K8" s="22">
        <f>+HLOOKUP([62]INPUT_Date.Etc!$B$4,[62]Maryland!$T$4:$AI$52,2, FALSE)</f>
        <v>11380</v>
      </c>
      <c r="L8" s="22">
        <f>+HLOOKUP([62]INPUT_Date.Etc!$B$4,[62]Sandpiper!$T$4:$AI$52,2, FALSE)</f>
        <v>9754</v>
      </c>
      <c r="M8" s="22">
        <f>+HLOOKUP([62]INPUT_Date.Etc!$B$4,[62]CFG!$T$4:$AI$52,2, FALSE)</f>
        <v>17607</v>
      </c>
      <c r="N8" s="22">
        <f>+HLOOKUP([62]INPUT_Date.Etc!$B$4,[62]FPUNG!$T$4:$AI$116,2, FALSE)</f>
        <v>58571</v>
      </c>
      <c r="O8" s="22">
        <f>+HLOOKUP([62]INPUT_Date.Etc!$B$4,[62]Electric!$T$4:$AI$45,2, FALSE)</f>
        <v>24751</v>
      </c>
      <c r="P8" s="22">
        <v>0</v>
      </c>
    </row>
    <row r="9" spans="1:18" x14ac:dyDescent="0.25">
      <c r="A9" s="12" t="s">
        <v>18</v>
      </c>
      <c r="B9" s="22">
        <f>+HLOOKUP([62]INPUT_Date.Etc!$B$4,[62]Delaware!$A$4:$P$57,3, FALSE)</f>
        <v>4254</v>
      </c>
      <c r="C9" s="22">
        <f>+HLOOKUP([62]INPUT_Date.Etc!$B$4,[62]Maryland!$A$4:$P$57,3, FALSE)</f>
        <v>1939</v>
      </c>
      <c r="D9" s="22">
        <f>+HLOOKUP([62]INPUT_Date.Etc!$B$4,[62]Sandpiper!$A$4:$P$57,3, FALSE)</f>
        <v>1084</v>
      </c>
      <c r="E9" s="22">
        <f>+HLOOKUP([62]INPUT_Date.Etc!$B$4,[62]CFG!$A$4:$P$57,3, FALSE)</f>
        <v>1590</v>
      </c>
      <c r="F9" s="22">
        <f>+HLOOKUP([62]INPUT_Date.Etc!$B$4,[62]FPUNG!$A$4:$P$116,3, FALSE)</f>
        <v>4023</v>
      </c>
      <c r="G9" s="22">
        <f>+HLOOKUP([62]INPUT_Date.Etc!$B$4,[62]Electric!$A$4:$P$45,3, FALSE)</f>
        <v>7323</v>
      </c>
      <c r="H9" s="22">
        <f>+HLOOKUP([62]INPUT_Date.Etc!$B$4,[62]ESNG!$E$4:$P$11,3, FALSE)</f>
        <v>0</v>
      </c>
      <c r="I9" s="23"/>
      <c r="J9" s="22">
        <f>+HLOOKUP([62]INPUT_Date.Etc!$B$4,[62]Delaware!$T$4:$AI$52,3, FALSE)</f>
        <v>4193</v>
      </c>
      <c r="K9" s="22">
        <f>+HLOOKUP([62]INPUT_Date.Etc!$B$4,[62]Maryland!$T$4:$AI$52,3, FALSE)</f>
        <v>1926</v>
      </c>
      <c r="L9" s="22">
        <f>+HLOOKUP([62]INPUT_Date.Etc!$B$4,[62]Sandpiper!$T$4:$AI$52,3, FALSE)</f>
        <v>1090</v>
      </c>
      <c r="M9" s="22">
        <f>+HLOOKUP([62]INPUT_Date.Etc!$B$4,[62]CFG!$T$4:$AI$52,3, FALSE)</f>
        <v>1568</v>
      </c>
      <c r="N9" s="22">
        <f>+HLOOKUP([62]INPUT_Date.Etc!$B$4,[62]FPUNG!$T$4:$AI$116,3, FALSE)</f>
        <v>3961</v>
      </c>
      <c r="O9" s="22">
        <f>+HLOOKUP([62]INPUT_Date.Etc!$B$4,[62]Electric!$T$4:$AI$45,3, FALSE)</f>
        <v>7273</v>
      </c>
      <c r="P9" s="22">
        <v>0</v>
      </c>
    </row>
    <row r="10" spans="1:18" x14ac:dyDescent="0.25">
      <c r="A10" s="12" t="s">
        <v>19</v>
      </c>
      <c r="B10" s="22">
        <f>+HLOOKUP([62]INPUT_Date.Etc!$B$4,[62]Delaware!$A$4:$P$57,4, FALSE)</f>
        <v>97</v>
      </c>
      <c r="C10" s="22">
        <f>+HLOOKUP([62]INPUT_Date.Etc!$B$4,[62]Maryland!$A$4:$P$57,4, FALSE)</f>
        <v>46</v>
      </c>
      <c r="D10" s="22">
        <f>+HLOOKUP([62]INPUT_Date.Etc!$B$4,[62]Sandpiper!$A$4:$P$57,4, FALSE)</f>
        <v>36</v>
      </c>
      <c r="E10" s="22">
        <f>+HLOOKUP([62]INPUT_Date.Etc!$B$4,[62]CFG!$A$4:$P$57,4, FALSE)</f>
        <v>16</v>
      </c>
      <c r="F10" s="22">
        <f>+HLOOKUP([62]INPUT_Date.Etc!$B$4,[62]FPUNG!$A$4:$P$116,4, FALSE)</f>
        <v>2519</v>
      </c>
      <c r="G10" s="22">
        <f>+HLOOKUP([62]INPUT_Date.Etc!$B$4,[62]Electric!$A$4:$P$45,4, FALSE)</f>
        <v>2</v>
      </c>
      <c r="H10" s="22">
        <v>0</v>
      </c>
      <c r="I10" s="23"/>
      <c r="J10" s="22">
        <f>+HLOOKUP([62]INPUT_Date.Etc!$B$4,[62]Delaware!$T$4:$AI$52,4, FALSE)</f>
        <v>96</v>
      </c>
      <c r="K10" s="22">
        <f>+HLOOKUP([62]INPUT_Date.Etc!$B$4,[62]Maryland!$T$4:$AI$52,4, FALSE)</f>
        <v>46</v>
      </c>
      <c r="L10" s="22">
        <f>+HLOOKUP([62]INPUT_Date.Etc!$B$4,[62]Sandpiper!$T$4:$AI$52,4, FALSE)</f>
        <v>29</v>
      </c>
      <c r="M10" s="22">
        <f>+HLOOKUP([62]INPUT_Date.Etc!$B$4,[62]CFG!$T$4:$AI$52,4, FALSE)</f>
        <v>16</v>
      </c>
      <c r="N10" s="22">
        <f>+HLOOKUP([62]INPUT_Date.Etc!$B$4,[62]FPUNG!$T$4:$AI$116,4, FALSE)</f>
        <v>2465</v>
      </c>
      <c r="O10" s="22">
        <f>+HLOOKUP([62]INPUT_Date.Etc!$B$4,[62]Electric!$T$4:$AI$45,4,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+HLOOKUP([62]INPUT_Date.Etc!$B$4,[62]ESNG!$A$4:$P$72,4, FALSE)</f>
        <v>16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+HLOOKUP([62]INPUT_Date.Etc!$B$4,[62]ESNG!$T$4:$AI$58,4, FALSE)</f>
        <v>14</v>
      </c>
    </row>
    <row r="12" spans="1:18" x14ac:dyDescent="0.25">
      <c r="A12" s="10" t="s">
        <v>21</v>
      </c>
      <c r="B12" s="22">
        <f>+HLOOKUP([62]INPUT_Date.Etc!$B$4,[62]Delaware!$A$4:$P$57,5, FALSE)</f>
        <v>4</v>
      </c>
      <c r="C12" s="22">
        <f>+HLOOKUP([62]INPUT_Date.Etc!$B$4,[62]Maryland!$A$4:$P$57,5, FALSE)</f>
        <v>0</v>
      </c>
      <c r="D12" s="22">
        <f>+HLOOKUP([62]INPUT_Date.Etc!$B$4,[62]Sandpiper!$A$4:$P$57,5, FALSE)</f>
        <v>0</v>
      </c>
      <c r="E12" s="22">
        <f>+HLOOKUP([62]INPUT_Date.Etc!$B$4,[62]CFG!$A$4:$P$57,5, FALSE)</f>
        <v>0</v>
      </c>
      <c r="F12" s="22">
        <f>+HLOOKUP([62]INPUT_Date.Etc!$B$4,[62]FPUNG!$A$4:$P$116,5, FALSE)</f>
        <v>16</v>
      </c>
      <c r="G12" s="22">
        <f>+HLOOKUP([62]INPUT_Date.Etc!$B$4,[62]Electric!$A$4:$P$45,5, FALSE)</f>
        <v>0</v>
      </c>
      <c r="H12" s="22">
        <v>0</v>
      </c>
      <c r="I12" s="23"/>
      <c r="J12" s="22">
        <f>+HLOOKUP([62]INPUT_Date.Etc!$B$4,[62]Delaware!$T$4:$AI$52,5, FALSE)</f>
        <v>17</v>
      </c>
      <c r="K12" s="22">
        <f>+HLOOKUP([62]INPUT_Date.Etc!$B$4,[62]Maryland!$T$4:$AI$52,5, FALSE)</f>
        <v>0</v>
      </c>
      <c r="L12" s="22">
        <f>+HLOOKUP([62]INPUT_Date.Etc!$B$4,[62]Sandpiper!$A$4:$P$57,5, FALSE)</f>
        <v>0</v>
      </c>
      <c r="M12" s="22">
        <f>+HLOOKUP([62]INPUT_Date.Etc!$B$4,[62]CFG!$T$4:$AI$52,5, FALSE)</f>
        <v>0</v>
      </c>
      <c r="N12" s="22">
        <f>+HLOOKUP([62]INPUT_Date.Etc!$B$4,[62]FPUNG!$A$4:$P$116,5, FALSE)</f>
        <v>16</v>
      </c>
      <c r="O12" s="22">
        <f>+HLOOKUP([62]INPUT_Date.Etc!$B$4,[62]Electric!$T$4:$AI$45,5,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+[62]Delaware!N10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+HLOOKUP([62]INPUT_Date.Etc!$B$4,[62]ESNG!$A$4:$P$72,5, FALSE)</f>
        <v>-4</v>
      </c>
      <c r="I13" s="23"/>
      <c r="J13" s="22">
        <f>+[62]Delaware!V10</f>
        <v>0</v>
      </c>
      <c r="K13" s="22">
        <f>+[62]Maryland!W10</f>
        <v>0</v>
      </c>
      <c r="L13" s="22">
        <v>0</v>
      </c>
      <c r="M13" s="22">
        <f>+[62]CFG!Y10</f>
        <v>0</v>
      </c>
      <c r="N13" s="24">
        <v>0</v>
      </c>
      <c r="O13" s="22">
        <v>0</v>
      </c>
      <c r="P13" s="22">
        <f>+HLOOKUP([62]INPUT_Date.Etc!$B$4,[62]ESNG!$T$4:$AI$58,5, FALSE)</f>
        <v>-3</v>
      </c>
    </row>
    <row r="14" spans="1:18" ht="13.8" thickBot="1" x14ac:dyDescent="0.3">
      <c r="A14" s="26" t="s">
        <v>23</v>
      </c>
      <c r="B14" s="27">
        <f t="shared" ref="B14:H14" si="0">SUM(B8:B13)</f>
        <v>62444</v>
      </c>
      <c r="C14" s="27">
        <f t="shared" si="0"/>
        <v>13584</v>
      </c>
      <c r="D14" s="27">
        <f t="shared" si="0"/>
        <v>11078</v>
      </c>
      <c r="E14" s="27">
        <f t="shared" si="0"/>
        <v>20089</v>
      </c>
      <c r="F14" s="27">
        <f t="shared" si="0"/>
        <v>67943</v>
      </c>
      <c r="G14" s="27">
        <f t="shared" si="0"/>
        <v>32555</v>
      </c>
      <c r="H14" s="27">
        <f t="shared" si="0"/>
        <v>12</v>
      </c>
      <c r="I14" s="23"/>
      <c r="J14" s="27">
        <f t="shared" ref="J14:P14" si="1">SUM(J8:J13)</f>
        <v>59191</v>
      </c>
      <c r="K14" s="27">
        <f t="shared" si="1"/>
        <v>13352</v>
      </c>
      <c r="L14" s="27">
        <f>SUM(L8:L13)</f>
        <v>10873</v>
      </c>
      <c r="M14" s="27">
        <f t="shared" si="1"/>
        <v>19191</v>
      </c>
      <c r="N14" s="27">
        <f t="shared" si="1"/>
        <v>65013</v>
      </c>
      <c r="O14" s="27">
        <f t="shared" si="1"/>
        <v>32026</v>
      </c>
      <c r="P14" s="27">
        <f t="shared" si="1"/>
        <v>11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+VLOOKUP([62]INPUT_Date.Etc!$B$4,[62]INPUT_Date.Etc!$A$14:$P$25,[62]INPUT_Date.Etc!$K$12)</f>
        <v>Average customers for the Twelve Months ended December 31, 2020</v>
      </c>
      <c r="E17" s="28"/>
      <c r="F17" s="28"/>
      <c r="G17" s="28"/>
      <c r="H17" s="23"/>
      <c r="I17" s="23"/>
      <c r="J17" s="23"/>
      <c r="K17" s="15" t="str">
        <f>+VLOOKUP([62]INPUT_Date.Etc!$B$4,[62]INPUT_Date.Etc!$A$14:$P$25,[62]INPUT_Date.Etc!$L$12)</f>
        <v>Average customers for the Twelve Months ended December 31, 2019</v>
      </c>
      <c r="L17" s="15" t="str">
        <f>+VLOOKUP([62]INPUT_Date.Etc!$B$4,[62]INPUT_Date.Etc!$A$14:$P$25,[62]INPUT_Date.Etc!$K$12)</f>
        <v>Average customers for the Twelve Months ended December 31, 2020</v>
      </c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+HLOOKUP([62]INPUT_Date.Etc!$B$4,[62]Delaware!$A$4:$P$57,31, FALSE)</f>
        <v>56605</v>
      </c>
      <c r="C19" s="23">
        <f>+HLOOKUP([62]INPUT_Date.Etc!$B$4,[62]Maryland!$A$4:$P$57,31, FALSE)</f>
        <v>11478</v>
      </c>
      <c r="D19" s="23">
        <f>+HLOOKUP([62]INPUT_Date.Etc!$B$4,[62]Sandpiper!$A$4:$P$57,31, FALSE)</f>
        <v>9846</v>
      </c>
      <c r="E19" s="23">
        <f>+HLOOKUP([62]INPUT_Date.Etc!$B$4,[62]CFG!$A$4:$P$57,31, FALSE)</f>
        <v>17920</v>
      </c>
      <c r="F19" s="22">
        <f>+HLOOKUP([62]INPUT_Date.Etc!$B$4,[62]FPUNG!$A$4:$P$116,88, FALSE)</f>
        <v>60016</v>
      </c>
      <c r="G19" s="22">
        <f>+HLOOKUP([62]INPUT_Date.Etc!$B$4,[62]Electric!$A$4:$P$45,24, FALSE)</f>
        <v>25044</v>
      </c>
      <c r="H19" s="22">
        <v>0</v>
      </c>
      <c r="I19" s="23"/>
      <c r="J19" s="22">
        <f>+HLOOKUP([62]INPUT_Date.Etc!$B$4,[62]Delaware!$T$4:$AI$52,31, FALSE)</f>
        <v>53205</v>
      </c>
      <c r="K19" s="22">
        <f>+HLOOKUP([62]INPUT_Date.Etc!$B$4,[62]Maryland!$T$4:$AI$52,31, FALSE)</f>
        <v>11119</v>
      </c>
      <c r="L19" s="22">
        <f>+HLOOKUP([62]INPUT_Date.Etc!$B$4,[62]Sandpiper!$A$4:$P$57,31, FALSE)</f>
        <v>9846</v>
      </c>
      <c r="M19" s="22">
        <f>+HLOOKUP([62]INPUT_Date.Etc!$B$4,[62]CFG!$T$4:$AI$52,31, FALSE)</f>
        <v>17262</v>
      </c>
      <c r="N19" s="22">
        <f>+HLOOKUP([62]INPUT_Date.Etc!$B$4,[62]FPUNG!$T$4:$AI$116,88, FALSE)</f>
        <v>57653</v>
      </c>
      <c r="O19" s="22">
        <f>+HLOOKUP([62]INPUT_Date.Etc!$B$4,[62]Electric!$T$4:$AI$45,24, FALSE)</f>
        <v>24573</v>
      </c>
      <c r="P19" s="22">
        <v>0</v>
      </c>
    </row>
    <row r="20" spans="1:16" x14ac:dyDescent="0.25">
      <c r="A20" s="12" t="s">
        <v>18</v>
      </c>
      <c r="B20" s="23">
        <f>+HLOOKUP([62]INPUT_Date.Etc!$B$4,[62]Delaware!$A$4:$P$57,32, FALSE)</f>
        <v>4204</v>
      </c>
      <c r="C20" s="23">
        <f>+HLOOKUP([62]INPUT_Date.Etc!$B$4,[62]Maryland!$A$4:$P$57,32, FALSE)</f>
        <v>1926</v>
      </c>
      <c r="D20" s="23">
        <f>+HLOOKUP([62]INPUT_Date.Etc!$B$4,[62]Sandpiper!$A$4:$P$57,32, FALSE)</f>
        <v>1096</v>
      </c>
      <c r="E20" s="23">
        <f>+HLOOKUP([62]INPUT_Date.Etc!$B$4,[62]CFG!$A$4:$P$57,32, FALSE)</f>
        <v>1584</v>
      </c>
      <c r="F20" s="22">
        <f>+HLOOKUP([62]INPUT_Date.Etc!$B$4,[62]FPUNG!$A$4:$P$116,89, FALSE)</f>
        <v>3990</v>
      </c>
      <c r="G20" s="22">
        <f>+HLOOKUP([62]INPUT_Date.Etc!$B$4,[62]Electric!$A$4:$P$45,25, FALSE)</f>
        <v>7280</v>
      </c>
      <c r="H20" s="22">
        <f>+HLOOKUP([62]INPUT_Date.Etc!$B$4,[62]ESNG!$E$4:$P$11,3, FALSE)</f>
        <v>0</v>
      </c>
      <c r="I20" s="23"/>
      <c r="J20" s="22">
        <f>+HLOOKUP([62]INPUT_Date.Etc!$B$4,[62]Delaware!$T$4:$AI$52,32, FALSE)</f>
        <v>4109</v>
      </c>
      <c r="K20" s="22">
        <f>+HLOOKUP([62]INPUT_Date.Etc!$B$4,[62]Maryland!$T$4:$AI$52,32, FALSE)</f>
        <v>1897</v>
      </c>
      <c r="L20" s="22">
        <f>+HLOOKUP([62]INPUT_Date.Etc!$B$4,[62]Sandpiper!$A$4:$P$57,32, FALSE)</f>
        <v>1096</v>
      </c>
      <c r="M20" s="22">
        <f>+HLOOKUP([62]INPUT_Date.Etc!$B$4,[62]CFG!$T$4:$AI$52,32, FALSE)</f>
        <v>1546</v>
      </c>
      <c r="N20" s="22">
        <f>+HLOOKUP([62]INPUT_Date.Etc!$B$4,[62]FPUNG!$T$4:$AI$116,89, FALSE)</f>
        <v>3932</v>
      </c>
      <c r="O20" s="22">
        <f>+HLOOKUP([62]INPUT_Date.Etc!$B$4,[62]Electric!$T$4:$AI$45,25, FALSE)</f>
        <v>7243</v>
      </c>
      <c r="P20" s="22">
        <v>0</v>
      </c>
    </row>
    <row r="21" spans="1:16" x14ac:dyDescent="0.25">
      <c r="A21" s="12" t="s">
        <v>26</v>
      </c>
      <c r="B21" s="23">
        <f>+HLOOKUP([62]INPUT_Date.Etc!$B$4,[62]Delaware!$A$4:$P$57,33, FALSE)</f>
        <v>95</v>
      </c>
      <c r="C21" s="23">
        <f>+HLOOKUP([62]INPUT_Date.Etc!$B$4,[62]Maryland!$A$4:$P$57,33, FALSE)</f>
        <v>45</v>
      </c>
      <c r="D21" s="23">
        <f>+HLOOKUP([62]INPUT_Date.Etc!$B$4,[62]Sandpiper!$A$4:$P$57,33, FALSE)</f>
        <v>32</v>
      </c>
      <c r="E21" s="23">
        <f>+HLOOKUP([62]INPUT_Date.Etc!$B$4,[62]CFG!$A$4:$P$57,33, FALSE)</f>
        <v>16</v>
      </c>
      <c r="F21" s="22">
        <f>+HLOOKUP([62]INPUT_Date.Etc!$B$4,[62]FPUNG!$A$4:$P$116,90, FALSE)</f>
        <v>2514</v>
      </c>
      <c r="G21" s="22">
        <f>+HLOOKUP([62]INPUT_Date.Etc!$B$4,[62]Electric!$A$4:$P$45,26, FALSE)</f>
        <v>2</v>
      </c>
      <c r="H21" s="22">
        <v>0</v>
      </c>
      <c r="I21" s="23"/>
      <c r="J21" s="22">
        <f>+HLOOKUP([62]INPUT_Date.Etc!$B$4,[62]Delaware!$T$4:$AI$52,33, FALSE)</f>
        <v>95</v>
      </c>
      <c r="K21" s="22">
        <f>+HLOOKUP([62]INPUT_Date.Etc!$B$4,[62]Maryland!$T$4:$AI$52,33, FALSE)</f>
        <v>46</v>
      </c>
      <c r="L21" s="22">
        <f>+HLOOKUP([62]INPUT_Date.Etc!$B$4,[62]Sandpiper!$A$4:$P$57,33, FALSE)</f>
        <v>32</v>
      </c>
      <c r="M21" s="22">
        <f>+HLOOKUP([62]INPUT_Date.Etc!$B$4,[62]CFG!$T$4:$AI$52,33, FALSE)</f>
        <v>17</v>
      </c>
      <c r="N21" s="22">
        <f>+HLOOKUP([62]INPUT_Date.Etc!$B$4,[62]FPUNG!$T$4:$AI$116,90, FALSE)</f>
        <v>2436</v>
      </c>
      <c r="O21" s="22">
        <f>+HLOOKUP([62]INPUT_Date.Etc!$B$4,[62]Electric!$T$4:$AI$45,26,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+HLOOKUP([62]INPUT_Date.Etc!$B$4,[62]ESNG!$A$4:$P$72,40, FALSE)</f>
        <v>15.25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+HLOOKUP([62]INPUT_Date.Etc!$B$4,[62]ESNG!$T$4:$AI$58,40, FALSE)</f>
        <v>15.666666666666666</v>
      </c>
    </row>
    <row r="23" spans="1:16" s="10" customFormat="1" x14ac:dyDescent="0.25">
      <c r="A23" s="10" t="s">
        <v>21</v>
      </c>
      <c r="B23" s="23">
        <f>+HLOOKUP([62]INPUT_Date.Etc!$B$4,[62]Delaware!$A$4:$P$57,34, FALSE)</f>
        <v>16</v>
      </c>
      <c r="C23" s="23">
        <f>+HLOOKUP([62]INPUT_Date.Etc!$B$4,[62]Maryland!$A$4:$P$57,34, FALSE)</f>
        <v>0</v>
      </c>
      <c r="D23" s="23">
        <f>+HLOOKUP([62]INPUT_Date.Etc!$B$4,[62]Sandpiper!$A$4:$P$57,34, FALSE)</f>
        <v>0</v>
      </c>
      <c r="E23" s="23">
        <f>+HLOOKUP([62]INPUT_Date.Etc!$B$4,[62]CFG!$A$4:$P$57,34, FALSE)</f>
        <v>0</v>
      </c>
      <c r="F23" s="22">
        <f>+HLOOKUP([62]INPUT_Date.Etc!$B$4,[62]FPUNG!$A$4:$P$116,91, FALSE)</f>
        <v>14</v>
      </c>
      <c r="G23" s="22">
        <f>+HLOOKUP([62]INPUT_Date.Etc!$B$4,[62]Electric!$A$4:$P$45,27, FALSE)</f>
        <v>0</v>
      </c>
      <c r="H23" s="22">
        <v>0</v>
      </c>
      <c r="I23" s="23"/>
      <c r="J23" s="22">
        <f>+HLOOKUP([62]INPUT_Date.Etc!$B$4,[62]Delaware!$T$4:$AI$52,34, FALSE)</f>
        <v>15</v>
      </c>
      <c r="K23" s="22">
        <f>+HLOOKUP([62]INPUT_Date.Etc!$B$4,[62]Maryland!$T$4:$AI$52,34, FALSE)</f>
        <v>0</v>
      </c>
      <c r="L23" s="22">
        <f>+HLOOKUP([62]INPUT_Date.Etc!$B$4,[62]Sandpiper!$A$4:$P$57,34, FALSE)</f>
        <v>0</v>
      </c>
      <c r="M23" s="22">
        <f>+HLOOKUP([62]INPUT_Date.Etc!$B$4,[62]CFG!$T$4:$AI$52,34, FALSE)</f>
        <v>0</v>
      </c>
      <c r="N23" s="22">
        <f>+HLOOKUP([62]INPUT_Date.Etc!$B$4,[62]FPUNG!$A$4:$P$116,91, FALSE)</f>
        <v>14</v>
      </c>
      <c r="O23" s="22">
        <f>+HLOOKUP([62]INPUT_Date.Etc!$B$4,[62]Electric!$T$4:$AI$45,27,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+HLOOKUP([62]INPUT_Date.Etc!$B$4,[62]ESNG!$A$4:$P$72,41, FALSE)</f>
        <v>-4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+HLOOKUP([62]INPUT_Date.Etc!$B$4,[62]ESNG!$T$4:$AI$58,41, FALSE)</f>
        <v>-3</v>
      </c>
    </row>
    <row r="25" spans="1:16" ht="13.8" thickBot="1" x14ac:dyDescent="0.3">
      <c r="A25" s="26" t="s">
        <v>27</v>
      </c>
      <c r="B25" s="27">
        <f t="shared" ref="B25:H25" si="2">SUM(B19:B24)</f>
        <v>60920</v>
      </c>
      <c r="C25" s="27">
        <f t="shared" si="2"/>
        <v>13449</v>
      </c>
      <c r="D25" s="27">
        <f t="shared" si="2"/>
        <v>10974</v>
      </c>
      <c r="E25" s="27">
        <f t="shared" si="2"/>
        <v>19520</v>
      </c>
      <c r="F25" s="27">
        <f t="shared" si="2"/>
        <v>66534</v>
      </c>
      <c r="G25" s="27">
        <f t="shared" si="2"/>
        <v>32326</v>
      </c>
      <c r="H25" s="27">
        <f t="shared" si="2"/>
        <v>11.25</v>
      </c>
      <c r="I25" s="23"/>
      <c r="J25" s="27">
        <f t="shared" ref="J25:P25" si="3">SUM(J19:J24)</f>
        <v>57424</v>
      </c>
      <c r="K25" s="27">
        <f t="shared" si="3"/>
        <v>13062</v>
      </c>
      <c r="L25" s="27">
        <f>SUM(L19:L24)</f>
        <v>10974</v>
      </c>
      <c r="M25" s="27">
        <f t="shared" si="3"/>
        <v>18825</v>
      </c>
      <c r="N25" s="27">
        <f t="shared" si="3"/>
        <v>64035</v>
      </c>
      <c r="O25" s="27">
        <f t="shared" si="3"/>
        <v>31818</v>
      </c>
      <c r="P25" s="27">
        <f t="shared" si="3"/>
        <v>12.666666666666666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</row>
  </sheetData>
  <sheetProtection password="EF28" sheet="1" objects="1" scenarios="1"/>
  <pageMargins left="0.45" right="0.45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32"/>
  <sheetViews>
    <sheetView workbookViewId="0">
      <selection activeCell="T19" sqref="T19"/>
    </sheetView>
  </sheetViews>
  <sheetFormatPr defaultColWidth="9.44140625" defaultRowHeight="13.2" x14ac:dyDescent="0.25"/>
  <cols>
    <col min="1" max="1" width="27.554687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5546875" style="10" customWidth="1"/>
    <col min="10" max="16" width="13.44140625" style="12" customWidth="1"/>
    <col min="17" max="16384" width="9.4414062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+[63]INPUT_Date.Etc!B7</f>
        <v>For the Eleven Months ended November 30, 2021 and 2020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+VLOOKUP([63]INPUT_Date.Etc!$B$4,[63]INPUT_Date.Etc!$A$14:$P$25,[63]INPUT_Date.Etc!$I$12)</f>
        <v>Actual customers for the Month of November 2021</v>
      </c>
      <c r="E6" s="16"/>
      <c r="F6" s="17"/>
      <c r="K6" s="15" t="str">
        <f>+VLOOKUP([63]INPUT_Date.Etc!$B$4,[63]INPUT_Date.Etc!$A$14:$P$25,[63]INPUT_Date.Etc!$J$12)</f>
        <v>Actual customers for the Month of November 2020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+HLOOKUP([63]INPUT_Date.Etc!$B$4,[63]Delaware!$A$4:$P$57,2, FALSE)</f>
        <v>61534</v>
      </c>
      <c r="C8" s="22">
        <f>+HLOOKUP([63]INPUT_Date.Etc!$B$4,[63]Maryland!$A$4:$P$57,2, FALSE)</f>
        <v>11413</v>
      </c>
      <c r="D8" s="22">
        <f>+HLOOKUP([63]INPUT_Date.Etc!$B$4,[63]Sandpiper!$A$4:$P$57,2, FALSE)</f>
        <v>10044</v>
      </c>
      <c r="E8" s="22">
        <f>+HLOOKUP([63]INPUT_Date.Etc!$B$4,[63]CFG!$A$4:$P$57,2, FALSE)</f>
        <v>18625</v>
      </c>
      <c r="F8" s="22">
        <f>+HLOOKUP([63]INPUT_Date.Etc!$B$4,[63]FPUNG!$A$4:$P$116,2, FALSE)</f>
        <v>64148</v>
      </c>
      <c r="G8" s="22">
        <f>+HLOOKUP([63]INPUT_Date.Etc!$B$4,[63]Electric!$A$4:$P$45,2, FALSE)</f>
        <v>0</v>
      </c>
      <c r="H8" s="22">
        <v>0</v>
      </c>
      <c r="I8" s="23"/>
      <c r="J8" s="22">
        <f>+HLOOKUP([63]INPUT_Date.Etc!$B$4,[63]Delaware!$T$4:$AI$52,2, FALSE)</f>
        <v>57713</v>
      </c>
      <c r="K8" s="22">
        <f>+HLOOKUP([63]INPUT_Date.Etc!$B$4,[63]Maryland!$T$4:$AI$52,2, FALSE)</f>
        <v>11523</v>
      </c>
      <c r="L8" s="22">
        <f>+HLOOKUP([63]INPUT_Date.Etc!$B$4,[63]Sandpiper!$T$4:$AI$52,2, FALSE)</f>
        <v>9893</v>
      </c>
      <c r="M8" s="22">
        <f>+HLOOKUP([63]INPUT_Date.Etc!$B$4,[63]CFG!$T$4:$AI$52,2, FALSE)</f>
        <v>18368</v>
      </c>
      <c r="N8" s="22">
        <f>+HLOOKUP([63]INPUT_Date.Etc!$B$4,[63]FPUNG!$T$4:$AI$116,2, FALSE)</f>
        <v>61197</v>
      </c>
      <c r="O8" s="22">
        <f>+HLOOKUP([63]INPUT_Date.Etc!$B$4,[63]Electric!$T$4:$AI$45,2, FALSE)</f>
        <v>25250</v>
      </c>
      <c r="P8" s="22">
        <v>0</v>
      </c>
    </row>
    <row r="9" spans="1:18" x14ac:dyDescent="0.25">
      <c r="A9" s="12" t="s">
        <v>18</v>
      </c>
      <c r="B9" s="22">
        <f>+HLOOKUP([63]INPUT_Date.Etc!$B$4,[63]Delaware!$A$4:$P$57,3, FALSE)</f>
        <v>4167</v>
      </c>
      <c r="C9" s="22">
        <f>+HLOOKUP([63]INPUT_Date.Etc!$B$4,[63]Maryland!$A$4:$P$57,3, FALSE)</f>
        <v>1949</v>
      </c>
      <c r="D9" s="22">
        <f>+HLOOKUP([63]INPUT_Date.Etc!$B$4,[63]Sandpiper!$A$4:$P$57,3, FALSE)</f>
        <v>1099</v>
      </c>
      <c r="E9" s="22">
        <f>+HLOOKUP([63]INPUT_Date.Etc!$B$4,[63]CFG!$A$4:$P$57,3, FALSE)</f>
        <v>1616</v>
      </c>
      <c r="F9" s="22">
        <f>+HLOOKUP([63]INPUT_Date.Etc!$B$4,[63]FPUNG!$A$4:$P$116,3, FALSE)</f>
        <v>4035</v>
      </c>
      <c r="G9" s="22">
        <f>+HLOOKUP([63]INPUT_Date.Etc!$B$4,[63]Electric!$A$4:$P$45,3, FALSE)</f>
        <v>0</v>
      </c>
      <c r="H9" s="22">
        <f>+HLOOKUP([63]INPUT_Date.Etc!$B$4,[63]ESNG!$E$4:$P$11,3, FALSE)</f>
        <v>0</v>
      </c>
      <c r="I9" s="23"/>
      <c r="J9" s="22">
        <f>+HLOOKUP([63]INPUT_Date.Etc!$B$4,[63]Delaware!$T$4:$AI$52,3, FALSE)</f>
        <v>4204</v>
      </c>
      <c r="K9" s="22">
        <f>+HLOOKUP([63]INPUT_Date.Etc!$B$4,[63]Maryland!$T$4:$AI$52,3, FALSE)</f>
        <v>1931</v>
      </c>
      <c r="L9" s="22">
        <f>+HLOOKUP([63]INPUT_Date.Etc!$B$4,[63]Sandpiper!$T$4:$AI$52,3, FALSE)</f>
        <v>1089</v>
      </c>
      <c r="M9" s="22">
        <f>+HLOOKUP([63]INPUT_Date.Etc!$B$4,[63]CFG!$T$4:$AI$52,3, FALSE)</f>
        <v>1591</v>
      </c>
      <c r="N9" s="22">
        <f>+HLOOKUP([63]INPUT_Date.Etc!$B$4,[63]FPUNG!$T$4:$AI$116,3, FALSE)</f>
        <v>4049</v>
      </c>
      <c r="O9" s="22">
        <f>+HLOOKUP([63]INPUT_Date.Etc!$B$4,[63]Electric!$T$4:$AI$45,3, FALSE)</f>
        <v>7307</v>
      </c>
      <c r="P9" s="22">
        <v>0</v>
      </c>
    </row>
    <row r="10" spans="1:18" x14ac:dyDescent="0.25">
      <c r="A10" s="12" t="s">
        <v>19</v>
      </c>
      <c r="B10" s="22">
        <f>+HLOOKUP([63]INPUT_Date.Etc!$B$4,[63]Delaware!$A$4:$P$57,4, FALSE)</f>
        <v>98</v>
      </c>
      <c r="C10" s="22">
        <f>+HLOOKUP([63]INPUT_Date.Etc!$B$4,[63]Maryland!$A$4:$P$57,4, FALSE)</f>
        <v>48</v>
      </c>
      <c r="D10" s="22">
        <f>+HLOOKUP([63]INPUT_Date.Etc!$B$4,[63]Sandpiper!$A$4:$P$57,4, FALSE)</f>
        <v>36</v>
      </c>
      <c r="E10" s="22">
        <f>+HLOOKUP([63]INPUT_Date.Etc!$B$4,[63]CFG!$A$4:$P$57,4, FALSE)</f>
        <v>16</v>
      </c>
      <c r="F10" s="22">
        <f>+HLOOKUP([63]INPUT_Date.Etc!$B$4,[63]FPUNG!$A$4:$P$116,4, FALSE)</f>
        <v>2574</v>
      </c>
      <c r="G10" s="22">
        <f>+HLOOKUP([63]INPUT_Date.Etc!$B$4,[63]Electric!$A$4:$P$45,4, FALSE)</f>
        <v>0</v>
      </c>
      <c r="H10" s="22">
        <v>0</v>
      </c>
      <c r="I10" s="23"/>
      <c r="J10" s="22">
        <f>+HLOOKUP([63]INPUT_Date.Etc!$B$4,[63]Delaware!$T$4:$AI$52,4, FALSE)</f>
        <v>96</v>
      </c>
      <c r="K10" s="22">
        <f>+HLOOKUP([63]INPUT_Date.Etc!$B$4,[63]Maryland!$T$4:$AI$52,4, FALSE)</f>
        <v>46</v>
      </c>
      <c r="L10" s="22">
        <f>+HLOOKUP([63]INPUT_Date.Etc!$B$4,[63]Sandpiper!$T$4:$AI$52,4, FALSE)</f>
        <v>36</v>
      </c>
      <c r="M10" s="22">
        <f>+HLOOKUP([63]INPUT_Date.Etc!$B$4,[63]CFG!$T$4:$AI$52,4, FALSE)</f>
        <v>16</v>
      </c>
      <c r="N10" s="22">
        <f>+HLOOKUP([63]INPUT_Date.Etc!$B$4,[63]FPUNG!$T$4:$AI$116,4, FALSE)</f>
        <v>2494</v>
      </c>
      <c r="O10" s="22">
        <f>+HLOOKUP([63]INPUT_Date.Etc!$B$4,[63]Electric!$T$4:$AI$45,4,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+HLOOKUP([63]INPUT_Date.Etc!$B$4,[63]ESNG!$A$4:$P$72,4, FALSE)</f>
        <v>0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+HLOOKUP([63]INPUT_Date.Etc!$B$4,[63]ESNG!$T$4:$AI$58,4, FALSE)</f>
        <v>15</v>
      </c>
    </row>
    <row r="12" spans="1:18" x14ac:dyDescent="0.25">
      <c r="A12" s="10" t="s">
        <v>21</v>
      </c>
      <c r="B12" s="22">
        <f>+HLOOKUP([63]INPUT_Date.Etc!$B$4,[63]Delaware!$A$4:$P$57,5, FALSE)</f>
        <v>4</v>
      </c>
      <c r="C12" s="22">
        <f>+HLOOKUP([63]INPUT_Date.Etc!$B$4,[63]Maryland!$A$4:$P$57,5, FALSE)</f>
        <v>0</v>
      </c>
      <c r="D12" s="22">
        <f>+HLOOKUP([63]INPUT_Date.Etc!$B$4,[63]Sandpiper!$A$4:$P$57,5, FALSE)</f>
        <v>0</v>
      </c>
      <c r="E12" s="22">
        <f>+HLOOKUP([63]INPUT_Date.Etc!$B$4,[63]CFG!$A$4:$P$57,5, FALSE)</f>
        <v>0</v>
      </c>
      <c r="F12" s="22">
        <f>+HLOOKUP([63]INPUT_Date.Etc!$B$4,[63]FPUNG!$A$4:$P$116,5, FALSE)</f>
        <v>6</v>
      </c>
      <c r="G12" s="22">
        <f>+HLOOKUP([63]INPUT_Date.Etc!$B$4,[63]Electric!$A$4:$P$45,5, FALSE)</f>
        <v>0</v>
      </c>
      <c r="H12" s="22">
        <v>0</v>
      </c>
      <c r="I12" s="23"/>
      <c r="J12" s="22">
        <f>+HLOOKUP([63]INPUT_Date.Etc!$B$4,[63]Delaware!$T$4:$AI$52,5, FALSE)</f>
        <v>4</v>
      </c>
      <c r="K12" s="22">
        <f>+HLOOKUP([63]INPUT_Date.Etc!$B$4,[63]Maryland!$T$4:$AI$52,5, FALSE)</f>
        <v>0</v>
      </c>
      <c r="L12" s="22">
        <f>+HLOOKUP([63]INPUT_Date.Etc!$B$4,[63]Sandpiper!$A$4:$P$57,5, FALSE)</f>
        <v>0</v>
      </c>
      <c r="M12" s="22">
        <f>+HLOOKUP([63]INPUT_Date.Etc!$B$4,[63]CFG!$T$4:$AI$52,5, FALSE)</f>
        <v>0</v>
      </c>
      <c r="N12" s="22">
        <f>+HLOOKUP([63]INPUT_Date.Etc!$B$4,[63]FPUNG!$A$4:$P$116,5, FALSE)</f>
        <v>6</v>
      </c>
      <c r="O12" s="22">
        <f>+HLOOKUP([63]INPUT_Date.Etc!$B$4,[63]Electric!$T$4:$AI$45,5,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+[63]Delaware!N10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+HLOOKUP([63]INPUT_Date.Etc!$B$4,[63]ESNG!$A$4:$P$72,5, FALSE)</f>
        <v>0</v>
      </c>
      <c r="I13" s="23"/>
      <c r="J13" s="22">
        <f>+[63]Delaware!V10</f>
        <v>0</v>
      </c>
      <c r="K13" s="22">
        <f>+[63]Maryland!W10</f>
        <v>0</v>
      </c>
      <c r="L13" s="22">
        <v>0</v>
      </c>
      <c r="M13" s="22">
        <f>+[63]CFG!Y10</f>
        <v>0</v>
      </c>
      <c r="N13" s="24">
        <v>0</v>
      </c>
      <c r="O13" s="22">
        <v>0</v>
      </c>
      <c r="P13" s="22">
        <f>+HLOOKUP([63]INPUT_Date.Etc!$B$4,[63]ESNG!$T$4:$AI$58,5, FALSE)</f>
        <v>-4</v>
      </c>
    </row>
    <row r="14" spans="1:18" ht="13.8" thickBot="1" x14ac:dyDescent="0.3">
      <c r="A14" s="26" t="s">
        <v>23</v>
      </c>
      <c r="B14" s="27">
        <f t="shared" ref="B14:H14" si="0">SUM(B8:B13)</f>
        <v>65803</v>
      </c>
      <c r="C14" s="27">
        <f t="shared" si="0"/>
        <v>13410</v>
      </c>
      <c r="D14" s="27">
        <f t="shared" si="0"/>
        <v>11179</v>
      </c>
      <c r="E14" s="27">
        <f t="shared" si="0"/>
        <v>20257</v>
      </c>
      <c r="F14" s="27">
        <f t="shared" si="0"/>
        <v>70763</v>
      </c>
      <c r="G14" s="27">
        <f t="shared" si="0"/>
        <v>0</v>
      </c>
      <c r="H14" s="27">
        <f t="shared" si="0"/>
        <v>0</v>
      </c>
      <c r="I14" s="23"/>
      <c r="J14" s="27">
        <f t="shared" ref="J14:P14" si="1">SUM(J8:J13)</f>
        <v>62017</v>
      </c>
      <c r="K14" s="27">
        <f t="shared" si="1"/>
        <v>13500</v>
      </c>
      <c r="L14" s="27">
        <f>SUM(L8:L13)</f>
        <v>11018</v>
      </c>
      <c r="M14" s="27">
        <f t="shared" si="1"/>
        <v>19975</v>
      </c>
      <c r="N14" s="27">
        <f t="shared" si="1"/>
        <v>67746</v>
      </c>
      <c r="O14" s="27">
        <f t="shared" si="1"/>
        <v>32559</v>
      </c>
      <c r="P14" s="27">
        <f t="shared" si="1"/>
        <v>11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+VLOOKUP([63]INPUT_Date.Etc!$B$4,[63]INPUT_Date.Etc!$A$14:$P$25,[63]INPUT_Date.Etc!$K$12)</f>
        <v>Average customers for the Eleven Months ended November 30, 2021</v>
      </c>
      <c r="E17" s="28"/>
      <c r="F17" s="28"/>
      <c r="G17" s="28"/>
      <c r="H17" s="23"/>
      <c r="I17" s="23"/>
      <c r="J17" s="23"/>
      <c r="K17" s="15" t="str">
        <f>+VLOOKUP([63]INPUT_Date.Etc!$B$4,[63]INPUT_Date.Etc!$A$14:$P$25,[63]INPUT_Date.Etc!$L$12)</f>
        <v>Average customers for the Eleven Months ended November 30, 2020</v>
      </c>
      <c r="L17" s="15"/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+HLOOKUP([63]INPUT_Date.Etc!$B$4,[63]Delaware!$A$4:$P$57,31, FALSE)</f>
        <v>59736</v>
      </c>
      <c r="C19" s="23">
        <f>+HLOOKUP([63]INPUT_Date.Etc!$B$4,[63]Maryland!$A$4:$P$57,31, FALSE)</f>
        <v>11493</v>
      </c>
      <c r="D19" s="23">
        <f>+HLOOKUP([63]INPUT_Date.Etc!$B$4,[63]Sandpiper!$A$4:$P$57,31, FALSE)</f>
        <v>9994</v>
      </c>
      <c r="E19" s="23">
        <f>+HLOOKUP([63]INPUT_Date.Etc!$B$4,[63]CFG!$A$4:$P$57,31, FALSE)</f>
        <v>18618</v>
      </c>
      <c r="F19" s="22">
        <f>+HLOOKUP([63]INPUT_Date.Etc!$B$4,[63]FPUNG!$A$4:$P$116,88, FALSE)</f>
        <v>62882</v>
      </c>
      <c r="G19" s="22">
        <f>+HLOOKUP([63]INPUT_Date.Etc!$B$4,[63]Electric!$A$4:$P$45,24, FALSE)</f>
        <v>25351</v>
      </c>
      <c r="H19" s="22">
        <v>0</v>
      </c>
      <c r="I19" s="23"/>
      <c r="J19" s="29">
        <f>+HLOOKUP([63]INPUT_Date.Etc!$B$4,[63]Delaware!$T$4:$AI$52,31, FALSE)</f>
        <v>56470</v>
      </c>
      <c r="K19" s="22">
        <f>+HLOOKUP([63]INPUT_Date.Etc!$B$4,[63]Maryland!$T$4:$AI$52,31, FALSE)</f>
        <v>11467</v>
      </c>
      <c r="L19" s="29">
        <f>+HLOOKUP([63]INPUT_Date.Etc!$B$4,[63]Sandpiper!$T$4:$AI$57,31, FALSE)</f>
        <v>9836</v>
      </c>
      <c r="M19" s="22">
        <f>+HLOOKUP([63]INPUT_Date.Etc!$B$4,[63]CFG!$T$4:$AI$52,31, FALSE)</f>
        <v>17868</v>
      </c>
      <c r="N19" s="22">
        <f>+HLOOKUP([63]INPUT_Date.Etc!$B$4,[63]FPUNG!$T$4:$AI$116,88, FALSE)</f>
        <v>59891</v>
      </c>
      <c r="O19" s="22">
        <f>+HLOOKUP([63]INPUT_Date.Etc!$B$4,[63]Electric!$T$4:$AI$45,24, FALSE)</f>
        <v>25027</v>
      </c>
      <c r="P19" s="22">
        <v>0</v>
      </c>
    </row>
    <row r="20" spans="1:16" x14ac:dyDescent="0.25">
      <c r="A20" s="12" t="s">
        <v>18</v>
      </c>
      <c r="B20" s="23">
        <f>+HLOOKUP([63]INPUT_Date.Etc!$B$4,[63]Delaware!$A$4:$P$57,32, FALSE)</f>
        <v>4208</v>
      </c>
      <c r="C20" s="23">
        <f>+HLOOKUP([63]INPUT_Date.Etc!$B$4,[63]Maryland!$A$4:$P$57,32, FALSE)</f>
        <v>1947</v>
      </c>
      <c r="D20" s="23">
        <f>+HLOOKUP([63]INPUT_Date.Etc!$B$4,[63]Sandpiper!$A$4:$P$57,32, FALSE)</f>
        <v>1103</v>
      </c>
      <c r="E20" s="23">
        <f>+HLOOKUP([63]INPUT_Date.Etc!$B$4,[63]CFG!$A$4:$P$57,32, FALSE)</f>
        <v>1606</v>
      </c>
      <c r="F20" s="22">
        <f>+HLOOKUP([63]INPUT_Date.Etc!$B$4,[63]FPUNG!$A$4:$P$116,89, FALSE)</f>
        <v>4079</v>
      </c>
      <c r="G20" s="22">
        <f>+HLOOKUP([63]INPUT_Date.Etc!$B$4,[63]Electric!$A$4:$P$45,25, FALSE)</f>
        <v>7336</v>
      </c>
      <c r="H20" s="22">
        <f>+HLOOKUP([63]INPUT_Date.Etc!$B$4,[63]ESNG!$E$4:$P$11,3, FALSE)</f>
        <v>0</v>
      </c>
      <c r="I20" s="23"/>
      <c r="J20" s="29">
        <f>+HLOOKUP([63]INPUT_Date.Etc!$B$4,[63]Delaware!$T$4:$AI$52,32, FALSE)</f>
        <v>4200</v>
      </c>
      <c r="K20" s="22">
        <f>+HLOOKUP([63]INPUT_Date.Etc!$B$4,[63]Maryland!$T$4:$AI$52,32, FALSE)</f>
        <v>1924</v>
      </c>
      <c r="L20" s="29">
        <f>+HLOOKUP([63]INPUT_Date.Etc!$B$4,[63]Sandpiper!$T$4:$AI$57,32, FALSE)</f>
        <v>1097</v>
      </c>
      <c r="M20" s="22">
        <f>+HLOOKUP([63]INPUT_Date.Etc!$B$4,[63]CFG!$T$4:$AI$52,32, FALSE)</f>
        <v>1584</v>
      </c>
      <c r="N20" s="22">
        <f>+HLOOKUP([63]INPUT_Date.Etc!$B$4,[63]FPUNG!$T$4:$AI$116,89, FALSE)</f>
        <v>4020</v>
      </c>
      <c r="O20" s="22">
        <f>+HLOOKUP([63]INPUT_Date.Etc!$B$4,[63]Electric!$T$4:$AI$45,25, FALSE)</f>
        <v>7276</v>
      </c>
      <c r="P20" s="22">
        <v>0</v>
      </c>
    </row>
    <row r="21" spans="1:16" x14ac:dyDescent="0.25">
      <c r="A21" s="12" t="s">
        <v>26</v>
      </c>
      <c r="B21" s="23">
        <f>+HLOOKUP([63]INPUT_Date.Etc!$B$4,[63]Delaware!$A$4:$P$57,33, FALSE)</f>
        <v>97</v>
      </c>
      <c r="C21" s="23">
        <f>+HLOOKUP([63]INPUT_Date.Etc!$B$4,[63]Maryland!$A$4:$P$57,33, FALSE)</f>
        <v>46</v>
      </c>
      <c r="D21" s="23">
        <f>+HLOOKUP([63]INPUT_Date.Etc!$B$4,[63]Sandpiper!$A$4:$P$57,33, FALSE)</f>
        <v>36</v>
      </c>
      <c r="E21" s="23">
        <f>+HLOOKUP([63]INPUT_Date.Etc!$B$4,[63]CFG!$A$4:$P$57,33, FALSE)</f>
        <v>16</v>
      </c>
      <c r="F21" s="22">
        <f>+HLOOKUP([63]INPUT_Date.Etc!$B$4,[63]FPUNG!$A$4:$P$116,90, FALSE)</f>
        <v>2519</v>
      </c>
      <c r="G21" s="22">
        <f>+HLOOKUP([63]INPUT_Date.Etc!$B$4,[63]Electric!$A$4:$P$45,26, FALSE)</f>
        <v>2</v>
      </c>
      <c r="H21" s="22">
        <v>0</v>
      </c>
      <c r="I21" s="23"/>
      <c r="J21" s="29">
        <f>+HLOOKUP([63]INPUT_Date.Etc!$B$4,[63]Delaware!$T$4:$AI$52,33, FALSE)</f>
        <v>95</v>
      </c>
      <c r="K21" s="22">
        <f>+HLOOKUP([63]INPUT_Date.Etc!$B$4,[63]Maryland!$T$4:$AI$52,33, FALSE)</f>
        <v>45</v>
      </c>
      <c r="L21" s="29">
        <f>+HLOOKUP([63]INPUT_Date.Etc!$B$4,[63]Sandpiper!$T$4:$AI$57,33, FALSE)</f>
        <v>32</v>
      </c>
      <c r="M21" s="22">
        <f>+HLOOKUP([63]INPUT_Date.Etc!$B$4,[63]CFG!$T$4:$AI$52,33, FALSE)</f>
        <v>16</v>
      </c>
      <c r="N21" s="22">
        <f>+HLOOKUP([63]INPUT_Date.Etc!$B$4,[63]FPUNG!$T$4:$AI$116,90, FALSE)</f>
        <v>2489</v>
      </c>
      <c r="O21" s="22">
        <f>+HLOOKUP([63]INPUT_Date.Etc!$B$4,[63]Electric!$T$4:$AI$45,26,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+HLOOKUP([63]INPUT_Date.Etc!$B$4,[63]ESNG!$A$4:$P$72,40, FALSE)</f>
        <v>15.1</v>
      </c>
      <c r="I22" s="23"/>
      <c r="J22" s="29">
        <v>0</v>
      </c>
      <c r="K22" s="22">
        <v>0</v>
      </c>
      <c r="L22" s="29">
        <v>0</v>
      </c>
      <c r="M22" s="22">
        <v>0</v>
      </c>
      <c r="N22" s="22">
        <v>0</v>
      </c>
      <c r="O22" s="22">
        <v>0</v>
      </c>
      <c r="P22" s="22">
        <f>+HLOOKUP([63]INPUT_Date.Etc!$B$4,[63]ESNG!$T$4:$AI$58,40, FALSE)</f>
        <v>15.181818181818182</v>
      </c>
    </row>
    <row r="23" spans="1:16" s="10" customFormat="1" x14ac:dyDescent="0.25">
      <c r="A23" s="10" t="s">
        <v>21</v>
      </c>
      <c r="B23" s="23">
        <f>+HLOOKUP([63]INPUT_Date.Etc!$B$4,[63]Delaware!$A$4:$P$57,34, FALSE)</f>
        <v>5</v>
      </c>
      <c r="C23" s="23">
        <f>+HLOOKUP([63]INPUT_Date.Etc!$B$4,[63]Maryland!$A$4:$P$57,34, FALSE)</f>
        <v>0</v>
      </c>
      <c r="D23" s="23">
        <f>+HLOOKUP([63]INPUT_Date.Etc!$B$4,[63]Sandpiper!$A$4:$P$57,34, FALSE)</f>
        <v>0</v>
      </c>
      <c r="E23" s="23">
        <f>+HLOOKUP([63]INPUT_Date.Etc!$B$4,[63]CFG!$A$4:$P$57,34, FALSE)</f>
        <v>0</v>
      </c>
      <c r="F23" s="22">
        <f>+HLOOKUP([63]INPUT_Date.Etc!$B$4,[63]FPUNG!$A$4:$P$116,91, FALSE)</f>
        <v>6</v>
      </c>
      <c r="G23" s="22">
        <f>+HLOOKUP([63]INPUT_Date.Etc!$B$4,[63]Electric!$A$4:$P$45,27, FALSE)</f>
        <v>0</v>
      </c>
      <c r="H23" s="22">
        <v>0</v>
      </c>
      <c r="I23" s="23"/>
      <c r="J23" s="29">
        <f>+HLOOKUP([63]INPUT_Date.Etc!$B$4,[63]Delaware!$T$4:$AI$52,34, FALSE)</f>
        <v>17</v>
      </c>
      <c r="K23" s="22">
        <f>+HLOOKUP([63]INPUT_Date.Etc!$B$4,[63]Maryland!$T$4:$AI$52,34, FALSE)</f>
        <v>0</v>
      </c>
      <c r="L23" s="29">
        <f>+HLOOKUP([63]INPUT_Date.Etc!$B$4,[63]Sandpiper!$T$4:$AI$57,34, FALSE)</f>
        <v>0</v>
      </c>
      <c r="M23" s="22">
        <f>+HLOOKUP([63]INPUT_Date.Etc!$B$4,[63]CFG!$T$4:$AI$52,34, FALSE)</f>
        <v>0</v>
      </c>
      <c r="N23" s="29">
        <f>+HLOOKUP([63]INPUT_Date.Etc!$B$4,[63]FPUNG!$T$4:$AI$116,91, FALSE)</f>
        <v>5</v>
      </c>
      <c r="O23" s="22">
        <f>+HLOOKUP([63]INPUT_Date.Etc!$B$4,[63]Electric!$T$4:$AI$45,27,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+HLOOKUP([63]INPUT_Date.Etc!$B$4,[63]ESNG!$A$4:$P$72,41, FALSE)</f>
        <v>0</v>
      </c>
      <c r="I24" s="23"/>
      <c r="J24" s="29">
        <v>0</v>
      </c>
      <c r="K24" s="22">
        <v>0</v>
      </c>
      <c r="L24" s="29">
        <v>0</v>
      </c>
      <c r="M24" s="22">
        <v>0</v>
      </c>
      <c r="N24" s="24">
        <v>0</v>
      </c>
      <c r="O24" s="22">
        <v>0</v>
      </c>
      <c r="P24" s="22">
        <f>+HLOOKUP([63]INPUT_Date.Etc!$B$4,[63]ESNG!$T$4:$AI$72,41, FALSE)</f>
        <v>-4</v>
      </c>
    </row>
    <row r="25" spans="1:16" ht="13.8" thickBot="1" x14ac:dyDescent="0.3">
      <c r="A25" s="26" t="s">
        <v>27</v>
      </c>
      <c r="B25" s="27">
        <f t="shared" ref="B25:H25" si="2">SUM(B19:B24)</f>
        <v>64046</v>
      </c>
      <c r="C25" s="27">
        <f t="shared" si="2"/>
        <v>13486</v>
      </c>
      <c r="D25" s="27">
        <f t="shared" si="2"/>
        <v>11133</v>
      </c>
      <c r="E25" s="27">
        <f t="shared" si="2"/>
        <v>20240</v>
      </c>
      <c r="F25" s="27">
        <f t="shared" si="2"/>
        <v>69486</v>
      </c>
      <c r="G25" s="27">
        <f t="shared" si="2"/>
        <v>32689</v>
      </c>
      <c r="H25" s="27">
        <f t="shared" si="2"/>
        <v>15.1</v>
      </c>
      <c r="I25" s="23"/>
      <c r="J25" s="27">
        <f t="shared" ref="J25:P25" si="3">SUM(J19:J24)</f>
        <v>60782</v>
      </c>
      <c r="K25" s="27">
        <f t="shared" si="3"/>
        <v>13436</v>
      </c>
      <c r="L25" s="27">
        <f>SUM(L19:L24)</f>
        <v>10965</v>
      </c>
      <c r="M25" s="27">
        <f t="shared" si="3"/>
        <v>19468</v>
      </c>
      <c r="N25" s="27">
        <f t="shared" si="3"/>
        <v>66405</v>
      </c>
      <c r="O25" s="27">
        <f t="shared" si="3"/>
        <v>32305</v>
      </c>
      <c r="P25" s="27">
        <f t="shared" si="3"/>
        <v>11.181818181818182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27" spans="1:16" x14ac:dyDescent="0.25">
      <c r="L27" s="34"/>
    </row>
    <row r="29" spans="1:16" x14ac:dyDescent="0.25">
      <c r="L29" s="35"/>
      <c r="N29" s="35"/>
      <c r="P29" s="35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  <c r="F32" s="12" t="s">
        <v>29</v>
      </c>
    </row>
  </sheetData>
  <pageMargins left="0.45" right="0.45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22"/>
  <sheetViews>
    <sheetView workbookViewId="0">
      <selection activeCell="L22" sqref="L22"/>
    </sheetView>
  </sheetViews>
  <sheetFormatPr defaultRowHeight="14.4" x14ac:dyDescent="0.3"/>
  <cols>
    <col min="1" max="1" width="10.77734375" bestFit="1" customWidth="1"/>
    <col min="2" max="2" width="24.21875" bestFit="1" customWidth="1"/>
    <col min="3" max="3" width="10.5546875" customWidth="1"/>
    <col min="4" max="4" width="10.77734375" bestFit="1" customWidth="1"/>
    <col min="5" max="5" width="24.21875" bestFit="1" customWidth="1"/>
    <col min="6" max="6" width="10" bestFit="1" customWidth="1"/>
    <col min="7" max="7" width="10.77734375" bestFit="1" customWidth="1"/>
    <col min="8" max="8" width="24.21875" bestFit="1" customWidth="1"/>
    <col min="9" max="9" width="13" customWidth="1"/>
  </cols>
  <sheetData>
    <row r="1" spans="1:9" ht="16.2" x14ac:dyDescent="0.35">
      <c r="A1" s="87" t="s">
        <v>5</v>
      </c>
      <c r="B1" s="87"/>
      <c r="C1" s="87"/>
      <c r="D1" s="87"/>
      <c r="E1" s="87"/>
      <c r="F1" s="87"/>
      <c r="G1" s="60"/>
      <c r="H1" s="60"/>
    </row>
    <row r="2" spans="1:9" x14ac:dyDescent="0.3">
      <c r="A2" s="86" t="s">
        <v>172</v>
      </c>
      <c r="B2" s="86"/>
      <c r="C2" s="86"/>
      <c r="D2" s="86" t="s">
        <v>171</v>
      </c>
      <c r="E2" s="86"/>
      <c r="F2" s="86"/>
      <c r="G2" s="86" t="s">
        <v>176</v>
      </c>
      <c r="H2" s="86"/>
      <c r="I2" s="86"/>
    </row>
    <row r="3" spans="1:9" x14ac:dyDescent="0.3">
      <c r="A3" s="1" t="s">
        <v>1</v>
      </c>
      <c r="B3" s="1" t="s">
        <v>189</v>
      </c>
      <c r="C3" s="1" t="s">
        <v>173</v>
      </c>
      <c r="D3" s="1" t="s">
        <v>1</v>
      </c>
      <c r="E3" s="1" t="s">
        <v>189</v>
      </c>
      <c r="F3" s="1" t="s">
        <v>173</v>
      </c>
      <c r="G3" s="1" t="s">
        <v>1</v>
      </c>
      <c r="H3" s="1" t="s">
        <v>189</v>
      </c>
      <c r="I3" s="1" t="s">
        <v>173</v>
      </c>
    </row>
    <row r="4" spans="1:9" x14ac:dyDescent="0.3">
      <c r="A4" s="1">
        <v>2010</v>
      </c>
      <c r="B4" s="83">
        <v>24086797</v>
      </c>
      <c r="D4" s="1">
        <v>2010</v>
      </c>
      <c r="E4" s="78">
        <v>1158452</v>
      </c>
      <c r="G4" s="1">
        <v>2010</v>
      </c>
      <c r="H4" s="78">
        <f>SUM(Vol_2011!K14:L14)/10</f>
        <v>279986.41190634016</v>
      </c>
    </row>
    <row r="5" spans="1:9" x14ac:dyDescent="0.3">
      <c r="A5" s="61">
        <v>2011</v>
      </c>
      <c r="B5" s="83">
        <v>24477425</v>
      </c>
      <c r="C5" s="2">
        <f t="shared" ref="C5:C14" si="0">(B5-B4)/B4</f>
        <v>1.6217515346685571E-2</v>
      </c>
      <c r="D5" s="61">
        <v>2011</v>
      </c>
      <c r="E5" s="84">
        <v>1217689</v>
      </c>
      <c r="F5" s="2">
        <f t="shared" ref="F5:F14" si="1">(E5-E4)/E4</f>
        <v>5.1134617575868485E-2</v>
      </c>
      <c r="G5" s="61">
        <v>2011</v>
      </c>
      <c r="H5" s="78">
        <f>SUM(Vol_2011!D14:E14)/10</f>
        <v>235292.02514922112</v>
      </c>
      <c r="I5" s="2">
        <f>(H5-H4)/H4</f>
        <v>-0.15963055654311542</v>
      </c>
    </row>
    <row r="6" spans="1:9" x14ac:dyDescent="0.3">
      <c r="A6" s="61">
        <v>2012</v>
      </c>
      <c r="B6" s="83">
        <v>25538487</v>
      </c>
      <c r="C6" s="2">
        <f t="shared" si="0"/>
        <v>4.3348595695829932E-2</v>
      </c>
      <c r="D6" s="61">
        <v>2012</v>
      </c>
      <c r="E6" s="84">
        <v>1328463</v>
      </c>
      <c r="F6" s="2">
        <f t="shared" si="1"/>
        <v>9.0970682990484428E-2</v>
      </c>
      <c r="G6" s="61">
        <v>2012</v>
      </c>
      <c r="H6" s="78">
        <f>SUM(Vol_2012!D14:E14)/10</f>
        <v>236366.1</v>
      </c>
      <c r="I6" s="2">
        <f t="shared" ref="I6:I14" si="2">(H6-H5)/H5</f>
        <v>4.5648587116274252E-3</v>
      </c>
    </row>
    <row r="7" spans="1:9" x14ac:dyDescent="0.3">
      <c r="A7" s="61">
        <v>2013</v>
      </c>
      <c r="B7" s="83">
        <v>26155071</v>
      </c>
      <c r="C7" s="2">
        <f t="shared" si="0"/>
        <v>2.4143325326985893E-2</v>
      </c>
      <c r="D7" s="61">
        <v>2013</v>
      </c>
      <c r="E7" s="84">
        <v>1225676</v>
      </c>
      <c r="F7" s="2">
        <f t="shared" si="1"/>
        <v>-7.7372873764643801E-2</v>
      </c>
      <c r="G7" s="61">
        <v>2013</v>
      </c>
      <c r="H7" s="78">
        <f>SUM(Vol_2013!E14:F14)/10</f>
        <v>208489.76710220482</v>
      </c>
      <c r="I7" s="2">
        <f t="shared" si="2"/>
        <v>-0.11793710222318339</v>
      </c>
    </row>
    <row r="8" spans="1:9" x14ac:dyDescent="0.3">
      <c r="A8" s="61">
        <v>2014</v>
      </c>
      <c r="B8" s="83">
        <v>26593375</v>
      </c>
      <c r="C8" s="2">
        <f t="shared" si="0"/>
        <v>1.6757897541168975E-2</v>
      </c>
      <c r="D8" s="61">
        <v>2014</v>
      </c>
      <c r="E8" s="84">
        <v>1214531</v>
      </c>
      <c r="F8" s="2">
        <f t="shared" si="1"/>
        <v>-9.092941364602064E-3</v>
      </c>
      <c r="G8" s="61">
        <v>2014</v>
      </c>
      <c r="H8" s="78">
        <f>SUM(Vol_2014!E14:F14)/10</f>
        <v>221247.38521927624</v>
      </c>
      <c r="I8" s="2">
        <f t="shared" si="2"/>
        <v>6.1190620021257205E-2</v>
      </c>
    </row>
    <row r="9" spans="1:9" x14ac:dyDescent="0.3">
      <c r="A9" s="61">
        <v>2015</v>
      </c>
      <c r="B9" s="83">
        <v>27243858</v>
      </c>
      <c r="C9" s="2">
        <f t="shared" si="0"/>
        <v>2.4460340216313273E-2</v>
      </c>
      <c r="D9" s="61">
        <v>2015</v>
      </c>
      <c r="E9" s="84">
        <v>1345790</v>
      </c>
      <c r="F9" s="2">
        <f t="shared" si="1"/>
        <v>0.10807381614796165</v>
      </c>
      <c r="G9" s="61">
        <v>2015</v>
      </c>
      <c r="H9" s="78">
        <f>SUM(Vol_2015!E14:F14)/10</f>
        <v>225460.80035056965</v>
      </c>
      <c r="I9" s="2">
        <f t="shared" si="2"/>
        <v>1.9043909274306384E-2</v>
      </c>
    </row>
    <row r="10" spans="1:9" x14ac:dyDescent="0.3">
      <c r="A10" s="61">
        <v>2016</v>
      </c>
      <c r="B10" s="83">
        <v>27444220</v>
      </c>
      <c r="C10" s="2">
        <f t="shared" si="0"/>
        <v>7.3543915843343483E-3</v>
      </c>
      <c r="D10" s="61">
        <v>2016</v>
      </c>
      <c r="E10" s="84">
        <v>1382558</v>
      </c>
      <c r="F10" s="2">
        <f t="shared" si="1"/>
        <v>2.7320755838578084E-2</v>
      </c>
      <c r="G10" s="61">
        <v>2016</v>
      </c>
      <c r="H10" s="78">
        <f>SUM(Vol_2016!E14:F14)/10</f>
        <v>230779.03398578241</v>
      </c>
      <c r="I10" s="2">
        <f t="shared" si="2"/>
        <v>2.3588285089662698E-2</v>
      </c>
    </row>
    <row r="11" spans="1:9" x14ac:dyDescent="0.3">
      <c r="A11" s="61">
        <v>2017</v>
      </c>
      <c r="B11" s="83">
        <v>27139699</v>
      </c>
      <c r="C11" s="2">
        <f t="shared" si="0"/>
        <v>-1.1095997627187073E-2</v>
      </c>
      <c r="D11" s="61">
        <v>2017</v>
      </c>
      <c r="E11" s="84">
        <v>1387960</v>
      </c>
      <c r="F11" s="2">
        <f t="shared" si="1"/>
        <v>3.9072501840790768E-3</v>
      </c>
      <c r="G11" s="61">
        <v>2017</v>
      </c>
      <c r="H11" s="78">
        <f>SUM(Vol_2017!E14:F14)/10</f>
        <v>244743.94800856948</v>
      </c>
      <c r="I11" s="2">
        <f t="shared" si="2"/>
        <v>6.0512056843289336E-2</v>
      </c>
    </row>
    <row r="12" spans="1:9" x14ac:dyDescent="0.3">
      <c r="A12" s="61">
        <v>2018</v>
      </c>
      <c r="B12" s="83">
        <v>30138930</v>
      </c>
      <c r="C12" s="2">
        <f t="shared" si="0"/>
        <v>0.11051084243786197</v>
      </c>
      <c r="D12" s="61">
        <v>2018</v>
      </c>
      <c r="E12" s="84">
        <v>1477160</v>
      </c>
      <c r="F12" s="2">
        <f t="shared" si="1"/>
        <v>6.4266981757399352E-2</v>
      </c>
      <c r="G12" s="61">
        <v>2018</v>
      </c>
      <c r="H12" s="78">
        <f>SUM(Vol_2018!E14:F14)/10</f>
        <v>399808.49305677286</v>
      </c>
      <c r="I12" s="2">
        <f t="shared" si="2"/>
        <v>0.63357866991168232</v>
      </c>
    </row>
    <row r="13" spans="1:9" x14ac:dyDescent="0.3">
      <c r="A13" s="61">
        <v>2019</v>
      </c>
      <c r="B13" s="83">
        <v>31132041</v>
      </c>
      <c r="C13" s="2">
        <f t="shared" si="0"/>
        <v>3.2951103439969501E-2</v>
      </c>
      <c r="D13" s="61">
        <v>2019</v>
      </c>
      <c r="E13" s="84">
        <v>1542785</v>
      </c>
      <c r="F13" s="2">
        <f t="shared" si="1"/>
        <v>4.4426467004251402E-2</v>
      </c>
      <c r="G13" s="61">
        <v>2019</v>
      </c>
      <c r="H13" s="78">
        <f>SUM(Vol_2019!E14:F14)/10</f>
        <v>404954.16412503691</v>
      </c>
      <c r="I13" s="2">
        <f t="shared" si="2"/>
        <v>1.2870339569133088E-2</v>
      </c>
    </row>
    <row r="14" spans="1:9" x14ac:dyDescent="0.3">
      <c r="A14" s="61">
        <v>2020</v>
      </c>
      <c r="B14" s="83">
        <v>30472212</v>
      </c>
      <c r="C14" s="2">
        <f t="shared" si="0"/>
        <v>-2.1194530740853128E-2</v>
      </c>
      <c r="D14" s="61">
        <v>2020</v>
      </c>
      <c r="E14" s="84">
        <v>1578415</v>
      </c>
      <c r="F14" s="2">
        <f t="shared" si="1"/>
        <v>2.3094598404832817E-2</v>
      </c>
      <c r="G14" s="61">
        <v>2020</v>
      </c>
      <c r="H14" s="78">
        <f>SUM(Vol_2020!E14:F14)/10</f>
        <v>372549.20666082401</v>
      </c>
      <c r="I14" s="2">
        <f t="shared" si="2"/>
        <v>-8.0021297062665309E-2</v>
      </c>
    </row>
    <row r="15" spans="1:9" x14ac:dyDescent="0.3">
      <c r="A15" s="61" t="s">
        <v>174</v>
      </c>
      <c r="B15" s="62"/>
      <c r="C15" s="63">
        <f>(B14-B4)/B4</f>
        <v>0.26510021236945702</v>
      </c>
      <c r="D15" s="61" t="s">
        <v>174</v>
      </c>
      <c r="E15" s="61"/>
      <c r="F15" s="63">
        <f>(E14-E4)/E4</f>
        <v>0.36252084678519264</v>
      </c>
      <c r="G15" s="61" t="s">
        <v>174</v>
      </c>
      <c r="I15" s="63">
        <f>(H14-H4)/H4</f>
        <v>0.33059745337015695</v>
      </c>
    </row>
    <row r="16" spans="1:9" x14ac:dyDescent="0.3">
      <c r="A16" s="1" t="s">
        <v>175</v>
      </c>
      <c r="B16" s="1"/>
      <c r="C16" s="63">
        <f>AVERAGE(C5:C14)</f>
        <v>2.4345348322110931E-2</v>
      </c>
      <c r="D16" s="1" t="s">
        <v>175</v>
      </c>
      <c r="E16" s="1"/>
      <c r="F16" s="63">
        <f>AVERAGE(F5:F14)</f>
        <v>3.2672935477420936E-2</v>
      </c>
      <c r="G16" s="1" t="s">
        <v>175</v>
      </c>
      <c r="I16" s="63">
        <f>AVERAGE(I5:I14)</f>
        <v>4.5775978359199436E-2</v>
      </c>
    </row>
    <row r="17" spans="6:12" x14ac:dyDescent="0.3">
      <c r="F17" s="3"/>
    </row>
    <row r="22" spans="6:12" x14ac:dyDescent="0.3">
      <c r="L22" s="85"/>
    </row>
  </sheetData>
  <mergeCells count="4">
    <mergeCell ref="A2:C2"/>
    <mergeCell ref="D2:F2"/>
    <mergeCell ref="A1:F1"/>
    <mergeCell ref="G2:I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G16"/>
  <sheetViews>
    <sheetView showGridLines="0" topLeftCell="A2" workbookViewId="0">
      <selection activeCell="G28" sqref="G28"/>
    </sheetView>
  </sheetViews>
  <sheetFormatPr defaultColWidth="9.109375" defaultRowHeight="13.2" x14ac:dyDescent="0.25"/>
  <cols>
    <col min="1" max="1" width="4.6640625" style="37" customWidth="1"/>
    <col min="2" max="2" width="26.5546875" style="37" customWidth="1"/>
    <col min="3" max="3" width="57.109375" style="37" customWidth="1"/>
    <col min="4" max="4" width="11.44140625" style="37" customWidth="1"/>
    <col min="5" max="5" width="13.33203125" style="37" customWidth="1"/>
    <col min="6" max="6" width="19" style="37" customWidth="1"/>
    <col min="7" max="7" width="13.33203125" style="37" customWidth="1"/>
    <col min="8" max="256" width="9.109375" style="37"/>
    <col min="257" max="257" width="4.6640625" style="37" customWidth="1"/>
    <col min="258" max="258" width="26.5546875" style="37" customWidth="1"/>
    <col min="259" max="259" width="57.109375" style="37" customWidth="1"/>
    <col min="260" max="260" width="11.44140625" style="37" customWidth="1"/>
    <col min="261" max="261" width="13.33203125" style="37" customWidth="1"/>
    <col min="262" max="262" width="19" style="37" customWidth="1"/>
    <col min="263" max="263" width="13.33203125" style="37" customWidth="1"/>
    <col min="264" max="512" width="9.109375" style="37"/>
    <col min="513" max="513" width="4.6640625" style="37" customWidth="1"/>
    <col min="514" max="514" width="26.5546875" style="37" customWidth="1"/>
    <col min="515" max="515" width="57.109375" style="37" customWidth="1"/>
    <col min="516" max="516" width="11.44140625" style="37" customWidth="1"/>
    <col min="517" max="517" width="13.33203125" style="37" customWidth="1"/>
    <col min="518" max="518" width="19" style="37" customWidth="1"/>
    <col min="519" max="519" width="13.33203125" style="37" customWidth="1"/>
    <col min="520" max="768" width="9.109375" style="37"/>
    <col min="769" max="769" width="4.6640625" style="37" customWidth="1"/>
    <col min="770" max="770" width="26.5546875" style="37" customWidth="1"/>
    <col min="771" max="771" width="57.109375" style="37" customWidth="1"/>
    <col min="772" max="772" width="11.44140625" style="37" customWidth="1"/>
    <col min="773" max="773" width="13.33203125" style="37" customWidth="1"/>
    <col min="774" max="774" width="19" style="37" customWidth="1"/>
    <col min="775" max="775" width="13.33203125" style="37" customWidth="1"/>
    <col min="776" max="1024" width="9.109375" style="37"/>
    <col min="1025" max="1025" width="4.6640625" style="37" customWidth="1"/>
    <col min="1026" max="1026" width="26.5546875" style="37" customWidth="1"/>
    <col min="1027" max="1027" width="57.109375" style="37" customWidth="1"/>
    <col min="1028" max="1028" width="11.44140625" style="37" customWidth="1"/>
    <col min="1029" max="1029" width="13.33203125" style="37" customWidth="1"/>
    <col min="1030" max="1030" width="19" style="37" customWidth="1"/>
    <col min="1031" max="1031" width="13.33203125" style="37" customWidth="1"/>
    <col min="1032" max="1280" width="9.109375" style="37"/>
    <col min="1281" max="1281" width="4.6640625" style="37" customWidth="1"/>
    <col min="1282" max="1282" width="26.5546875" style="37" customWidth="1"/>
    <col min="1283" max="1283" width="57.109375" style="37" customWidth="1"/>
    <col min="1284" max="1284" width="11.44140625" style="37" customWidth="1"/>
    <col min="1285" max="1285" width="13.33203125" style="37" customWidth="1"/>
    <col min="1286" max="1286" width="19" style="37" customWidth="1"/>
    <col min="1287" max="1287" width="13.33203125" style="37" customWidth="1"/>
    <col min="1288" max="1536" width="9.109375" style="37"/>
    <col min="1537" max="1537" width="4.6640625" style="37" customWidth="1"/>
    <col min="1538" max="1538" width="26.5546875" style="37" customWidth="1"/>
    <col min="1539" max="1539" width="57.109375" style="37" customWidth="1"/>
    <col min="1540" max="1540" width="11.44140625" style="37" customWidth="1"/>
    <col min="1541" max="1541" width="13.33203125" style="37" customWidth="1"/>
    <col min="1542" max="1542" width="19" style="37" customWidth="1"/>
    <col min="1543" max="1543" width="13.33203125" style="37" customWidth="1"/>
    <col min="1544" max="1792" width="9.109375" style="37"/>
    <col min="1793" max="1793" width="4.6640625" style="37" customWidth="1"/>
    <col min="1794" max="1794" width="26.5546875" style="37" customWidth="1"/>
    <col min="1795" max="1795" width="57.109375" style="37" customWidth="1"/>
    <col min="1796" max="1796" width="11.44140625" style="37" customWidth="1"/>
    <col min="1797" max="1797" width="13.33203125" style="37" customWidth="1"/>
    <col min="1798" max="1798" width="19" style="37" customWidth="1"/>
    <col min="1799" max="1799" width="13.33203125" style="37" customWidth="1"/>
    <col min="1800" max="2048" width="9.109375" style="37"/>
    <col min="2049" max="2049" width="4.6640625" style="37" customWidth="1"/>
    <col min="2050" max="2050" width="26.5546875" style="37" customWidth="1"/>
    <col min="2051" max="2051" width="57.109375" style="37" customWidth="1"/>
    <col min="2052" max="2052" width="11.44140625" style="37" customWidth="1"/>
    <col min="2053" max="2053" width="13.33203125" style="37" customWidth="1"/>
    <col min="2054" max="2054" width="19" style="37" customWidth="1"/>
    <col min="2055" max="2055" width="13.33203125" style="37" customWidth="1"/>
    <col min="2056" max="2304" width="9.109375" style="37"/>
    <col min="2305" max="2305" width="4.6640625" style="37" customWidth="1"/>
    <col min="2306" max="2306" width="26.5546875" style="37" customWidth="1"/>
    <col min="2307" max="2307" width="57.109375" style="37" customWidth="1"/>
    <col min="2308" max="2308" width="11.44140625" style="37" customWidth="1"/>
    <col min="2309" max="2309" width="13.33203125" style="37" customWidth="1"/>
    <col min="2310" max="2310" width="19" style="37" customWidth="1"/>
    <col min="2311" max="2311" width="13.33203125" style="37" customWidth="1"/>
    <col min="2312" max="2560" width="9.109375" style="37"/>
    <col min="2561" max="2561" width="4.6640625" style="37" customWidth="1"/>
    <col min="2562" max="2562" width="26.5546875" style="37" customWidth="1"/>
    <col min="2563" max="2563" width="57.109375" style="37" customWidth="1"/>
    <col min="2564" max="2564" width="11.44140625" style="37" customWidth="1"/>
    <col min="2565" max="2565" width="13.33203125" style="37" customWidth="1"/>
    <col min="2566" max="2566" width="19" style="37" customWidth="1"/>
    <col min="2567" max="2567" width="13.33203125" style="37" customWidth="1"/>
    <col min="2568" max="2816" width="9.109375" style="37"/>
    <col min="2817" max="2817" width="4.6640625" style="37" customWidth="1"/>
    <col min="2818" max="2818" width="26.5546875" style="37" customWidth="1"/>
    <col min="2819" max="2819" width="57.109375" style="37" customWidth="1"/>
    <col min="2820" max="2820" width="11.44140625" style="37" customWidth="1"/>
    <col min="2821" max="2821" width="13.33203125" style="37" customWidth="1"/>
    <col min="2822" max="2822" width="19" style="37" customWidth="1"/>
    <col min="2823" max="2823" width="13.33203125" style="37" customWidth="1"/>
    <col min="2824" max="3072" width="9.109375" style="37"/>
    <col min="3073" max="3073" width="4.6640625" style="37" customWidth="1"/>
    <col min="3074" max="3074" width="26.5546875" style="37" customWidth="1"/>
    <col min="3075" max="3075" width="57.109375" style="37" customWidth="1"/>
    <col min="3076" max="3076" width="11.44140625" style="37" customWidth="1"/>
    <col min="3077" max="3077" width="13.33203125" style="37" customWidth="1"/>
    <col min="3078" max="3078" width="19" style="37" customWidth="1"/>
    <col min="3079" max="3079" width="13.33203125" style="37" customWidth="1"/>
    <col min="3080" max="3328" width="9.109375" style="37"/>
    <col min="3329" max="3329" width="4.6640625" style="37" customWidth="1"/>
    <col min="3330" max="3330" width="26.5546875" style="37" customWidth="1"/>
    <col min="3331" max="3331" width="57.109375" style="37" customWidth="1"/>
    <col min="3332" max="3332" width="11.44140625" style="37" customWidth="1"/>
    <col min="3333" max="3333" width="13.33203125" style="37" customWidth="1"/>
    <col min="3334" max="3334" width="19" style="37" customWidth="1"/>
    <col min="3335" max="3335" width="13.33203125" style="37" customWidth="1"/>
    <col min="3336" max="3584" width="9.109375" style="37"/>
    <col min="3585" max="3585" width="4.6640625" style="37" customWidth="1"/>
    <col min="3586" max="3586" width="26.5546875" style="37" customWidth="1"/>
    <col min="3587" max="3587" width="57.109375" style="37" customWidth="1"/>
    <col min="3588" max="3588" width="11.44140625" style="37" customWidth="1"/>
    <col min="3589" max="3589" width="13.33203125" style="37" customWidth="1"/>
    <col min="3590" max="3590" width="19" style="37" customWidth="1"/>
    <col min="3591" max="3591" width="13.33203125" style="37" customWidth="1"/>
    <col min="3592" max="3840" width="9.109375" style="37"/>
    <col min="3841" max="3841" width="4.6640625" style="37" customWidth="1"/>
    <col min="3842" max="3842" width="26.5546875" style="37" customWidth="1"/>
    <col min="3843" max="3843" width="57.109375" style="37" customWidth="1"/>
    <col min="3844" max="3844" width="11.44140625" style="37" customWidth="1"/>
    <col min="3845" max="3845" width="13.33203125" style="37" customWidth="1"/>
    <col min="3846" max="3846" width="19" style="37" customWidth="1"/>
    <col min="3847" max="3847" width="13.33203125" style="37" customWidth="1"/>
    <col min="3848" max="4096" width="9.109375" style="37"/>
    <col min="4097" max="4097" width="4.6640625" style="37" customWidth="1"/>
    <col min="4098" max="4098" width="26.5546875" style="37" customWidth="1"/>
    <col min="4099" max="4099" width="57.109375" style="37" customWidth="1"/>
    <col min="4100" max="4100" width="11.44140625" style="37" customWidth="1"/>
    <col min="4101" max="4101" width="13.33203125" style="37" customWidth="1"/>
    <col min="4102" max="4102" width="19" style="37" customWidth="1"/>
    <col min="4103" max="4103" width="13.33203125" style="37" customWidth="1"/>
    <col min="4104" max="4352" width="9.109375" style="37"/>
    <col min="4353" max="4353" width="4.6640625" style="37" customWidth="1"/>
    <col min="4354" max="4354" width="26.5546875" style="37" customWidth="1"/>
    <col min="4355" max="4355" width="57.109375" style="37" customWidth="1"/>
    <col min="4356" max="4356" width="11.44140625" style="37" customWidth="1"/>
    <col min="4357" max="4357" width="13.33203125" style="37" customWidth="1"/>
    <col min="4358" max="4358" width="19" style="37" customWidth="1"/>
    <col min="4359" max="4359" width="13.33203125" style="37" customWidth="1"/>
    <col min="4360" max="4608" width="9.109375" style="37"/>
    <col min="4609" max="4609" width="4.6640625" style="37" customWidth="1"/>
    <col min="4610" max="4610" width="26.5546875" style="37" customWidth="1"/>
    <col min="4611" max="4611" width="57.109375" style="37" customWidth="1"/>
    <col min="4612" max="4612" width="11.44140625" style="37" customWidth="1"/>
    <col min="4613" max="4613" width="13.33203125" style="37" customWidth="1"/>
    <col min="4614" max="4614" width="19" style="37" customWidth="1"/>
    <col min="4615" max="4615" width="13.33203125" style="37" customWidth="1"/>
    <col min="4616" max="4864" width="9.109375" style="37"/>
    <col min="4865" max="4865" width="4.6640625" style="37" customWidth="1"/>
    <col min="4866" max="4866" width="26.5546875" style="37" customWidth="1"/>
    <col min="4867" max="4867" width="57.109375" style="37" customWidth="1"/>
    <col min="4868" max="4868" width="11.44140625" style="37" customWidth="1"/>
    <col min="4869" max="4869" width="13.33203125" style="37" customWidth="1"/>
    <col min="4870" max="4870" width="19" style="37" customWidth="1"/>
    <col min="4871" max="4871" width="13.33203125" style="37" customWidth="1"/>
    <col min="4872" max="5120" width="9.109375" style="37"/>
    <col min="5121" max="5121" width="4.6640625" style="37" customWidth="1"/>
    <col min="5122" max="5122" width="26.5546875" style="37" customWidth="1"/>
    <col min="5123" max="5123" width="57.109375" style="37" customWidth="1"/>
    <col min="5124" max="5124" width="11.44140625" style="37" customWidth="1"/>
    <col min="5125" max="5125" width="13.33203125" style="37" customWidth="1"/>
    <col min="5126" max="5126" width="19" style="37" customWidth="1"/>
    <col min="5127" max="5127" width="13.33203125" style="37" customWidth="1"/>
    <col min="5128" max="5376" width="9.109375" style="37"/>
    <col min="5377" max="5377" width="4.6640625" style="37" customWidth="1"/>
    <col min="5378" max="5378" width="26.5546875" style="37" customWidth="1"/>
    <col min="5379" max="5379" width="57.109375" style="37" customWidth="1"/>
    <col min="5380" max="5380" width="11.44140625" style="37" customWidth="1"/>
    <col min="5381" max="5381" width="13.33203125" style="37" customWidth="1"/>
    <col min="5382" max="5382" width="19" style="37" customWidth="1"/>
    <col min="5383" max="5383" width="13.33203125" style="37" customWidth="1"/>
    <col min="5384" max="5632" width="9.109375" style="37"/>
    <col min="5633" max="5633" width="4.6640625" style="37" customWidth="1"/>
    <col min="5634" max="5634" width="26.5546875" style="37" customWidth="1"/>
    <col min="5635" max="5635" width="57.109375" style="37" customWidth="1"/>
    <col min="5636" max="5636" width="11.44140625" style="37" customWidth="1"/>
    <col min="5637" max="5637" width="13.33203125" style="37" customWidth="1"/>
    <col min="5638" max="5638" width="19" style="37" customWidth="1"/>
    <col min="5639" max="5639" width="13.33203125" style="37" customWidth="1"/>
    <col min="5640" max="5888" width="9.109375" style="37"/>
    <col min="5889" max="5889" width="4.6640625" style="37" customWidth="1"/>
    <col min="5890" max="5890" width="26.5546875" style="37" customWidth="1"/>
    <col min="5891" max="5891" width="57.109375" style="37" customWidth="1"/>
    <col min="5892" max="5892" width="11.44140625" style="37" customWidth="1"/>
    <col min="5893" max="5893" width="13.33203125" style="37" customWidth="1"/>
    <col min="5894" max="5894" width="19" style="37" customWidth="1"/>
    <col min="5895" max="5895" width="13.33203125" style="37" customWidth="1"/>
    <col min="5896" max="6144" width="9.109375" style="37"/>
    <col min="6145" max="6145" width="4.6640625" style="37" customWidth="1"/>
    <col min="6146" max="6146" width="26.5546875" style="37" customWidth="1"/>
    <col min="6147" max="6147" width="57.109375" style="37" customWidth="1"/>
    <col min="6148" max="6148" width="11.44140625" style="37" customWidth="1"/>
    <col min="6149" max="6149" width="13.33203125" style="37" customWidth="1"/>
    <col min="6150" max="6150" width="19" style="37" customWidth="1"/>
    <col min="6151" max="6151" width="13.33203125" style="37" customWidth="1"/>
    <col min="6152" max="6400" width="9.109375" style="37"/>
    <col min="6401" max="6401" width="4.6640625" style="37" customWidth="1"/>
    <col min="6402" max="6402" width="26.5546875" style="37" customWidth="1"/>
    <col min="6403" max="6403" width="57.109375" style="37" customWidth="1"/>
    <col min="6404" max="6404" width="11.44140625" style="37" customWidth="1"/>
    <col min="6405" max="6405" width="13.33203125" style="37" customWidth="1"/>
    <col min="6406" max="6406" width="19" style="37" customWidth="1"/>
    <col min="6407" max="6407" width="13.33203125" style="37" customWidth="1"/>
    <col min="6408" max="6656" width="9.109375" style="37"/>
    <col min="6657" max="6657" width="4.6640625" style="37" customWidth="1"/>
    <col min="6658" max="6658" width="26.5546875" style="37" customWidth="1"/>
    <col min="6659" max="6659" width="57.109375" style="37" customWidth="1"/>
    <col min="6660" max="6660" width="11.44140625" style="37" customWidth="1"/>
    <col min="6661" max="6661" width="13.33203125" style="37" customWidth="1"/>
    <col min="6662" max="6662" width="19" style="37" customWidth="1"/>
    <col min="6663" max="6663" width="13.33203125" style="37" customWidth="1"/>
    <col min="6664" max="6912" width="9.109375" style="37"/>
    <col min="6913" max="6913" width="4.6640625" style="37" customWidth="1"/>
    <col min="6914" max="6914" width="26.5546875" style="37" customWidth="1"/>
    <col min="6915" max="6915" width="57.109375" style="37" customWidth="1"/>
    <col min="6916" max="6916" width="11.44140625" style="37" customWidth="1"/>
    <col min="6917" max="6917" width="13.33203125" style="37" customWidth="1"/>
    <col min="6918" max="6918" width="19" style="37" customWidth="1"/>
    <col min="6919" max="6919" width="13.33203125" style="37" customWidth="1"/>
    <col min="6920" max="7168" width="9.109375" style="37"/>
    <col min="7169" max="7169" width="4.6640625" style="37" customWidth="1"/>
    <col min="7170" max="7170" width="26.5546875" style="37" customWidth="1"/>
    <col min="7171" max="7171" width="57.109375" style="37" customWidth="1"/>
    <col min="7172" max="7172" width="11.44140625" style="37" customWidth="1"/>
    <col min="7173" max="7173" width="13.33203125" style="37" customWidth="1"/>
    <col min="7174" max="7174" width="19" style="37" customWidth="1"/>
    <col min="7175" max="7175" width="13.33203125" style="37" customWidth="1"/>
    <col min="7176" max="7424" width="9.109375" style="37"/>
    <col min="7425" max="7425" width="4.6640625" style="37" customWidth="1"/>
    <col min="7426" max="7426" width="26.5546875" style="37" customWidth="1"/>
    <col min="7427" max="7427" width="57.109375" style="37" customWidth="1"/>
    <col min="7428" max="7428" width="11.44140625" style="37" customWidth="1"/>
    <col min="7429" max="7429" width="13.33203125" style="37" customWidth="1"/>
    <col min="7430" max="7430" width="19" style="37" customWidth="1"/>
    <col min="7431" max="7431" width="13.33203125" style="37" customWidth="1"/>
    <col min="7432" max="7680" width="9.109375" style="37"/>
    <col min="7681" max="7681" width="4.6640625" style="37" customWidth="1"/>
    <col min="7682" max="7682" width="26.5546875" style="37" customWidth="1"/>
    <col min="7683" max="7683" width="57.109375" style="37" customWidth="1"/>
    <col min="7684" max="7684" width="11.44140625" style="37" customWidth="1"/>
    <col min="7685" max="7685" width="13.33203125" style="37" customWidth="1"/>
    <col min="7686" max="7686" width="19" style="37" customWidth="1"/>
    <col min="7687" max="7687" width="13.33203125" style="37" customWidth="1"/>
    <col min="7688" max="7936" width="9.109375" style="37"/>
    <col min="7937" max="7937" width="4.6640625" style="37" customWidth="1"/>
    <col min="7938" max="7938" width="26.5546875" style="37" customWidth="1"/>
    <col min="7939" max="7939" width="57.109375" style="37" customWidth="1"/>
    <col min="7940" max="7940" width="11.44140625" style="37" customWidth="1"/>
    <col min="7941" max="7941" width="13.33203125" style="37" customWidth="1"/>
    <col min="7942" max="7942" width="19" style="37" customWidth="1"/>
    <col min="7943" max="7943" width="13.33203125" style="37" customWidth="1"/>
    <col min="7944" max="8192" width="9.109375" style="37"/>
    <col min="8193" max="8193" width="4.6640625" style="37" customWidth="1"/>
    <col min="8194" max="8194" width="26.5546875" style="37" customWidth="1"/>
    <col min="8195" max="8195" width="57.109375" style="37" customWidth="1"/>
    <col min="8196" max="8196" width="11.44140625" style="37" customWidth="1"/>
    <col min="8197" max="8197" width="13.33203125" style="37" customWidth="1"/>
    <col min="8198" max="8198" width="19" style="37" customWidth="1"/>
    <col min="8199" max="8199" width="13.33203125" style="37" customWidth="1"/>
    <col min="8200" max="8448" width="9.109375" style="37"/>
    <col min="8449" max="8449" width="4.6640625" style="37" customWidth="1"/>
    <col min="8450" max="8450" width="26.5546875" style="37" customWidth="1"/>
    <col min="8451" max="8451" width="57.109375" style="37" customWidth="1"/>
    <col min="8452" max="8452" width="11.44140625" style="37" customWidth="1"/>
    <col min="8453" max="8453" width="13.33203125" style="37" customWidth="1"/>
    <col min="8454" max="8454" width="19" style="37" customWidth="1"/>
    <col min="8455" max="8455" width="13.33203125" style="37" customWidth="1"/>
    <col min="8456" max="8704" width="9.109375" style="37"/>
    <col min="8705" max="8705" width="4.6640625" style="37" customWidth="1"/>
    <col min="8706" max="8706" width="26.5546875" style="37" customWidth="1"/>
    <col min="8707" max="8707" width="57.109375" style="37" customWidth="1"/>
    <col min="8708" max="8708" width="11.44140625" style="37" customWidth="1"/>
    <col min="8709" max="8709" width="13.33203125" style="37" customWidth="1"/>
    <col min="8710" max="8710" width="19" style="37" customWidth="1"/>
    <col min="8711" max="8711" width="13.33203125" style="37" customWidth="1"/>
    <col min="8712" max="8960" width="9.109375" style="37"/>
    <col min="8961" max="8961" width="4.6640625" style="37" customWidth="1"/>
    <col min="8962" max="8962" width="26.5546875" style="37" customWidth="1"/>
    <col min="8963" max="8963" width="57.109375" style="37" customWidth="1"/>
    <col min="8964" max="8964" width="11.44140625" style="37" customWidth="1"/>
    <col min="8965" max="8965" width="13.33203125" style="37" customWidth="1"/>
    <col min="8966" max="8966" width="19" style="37" customWidth="1"/>
    <col min="8967" max="8967" width="13.33203125" style="37" customWidth="1"/>
    <col min="8968" max="9216" width="9.109375" style="37"/>
    <col min="9217" max="9217" width="4.6640625" style="37" customWidth="1"/>
    <col min="9218" max="9218" width="26.5546875" style="37" customWidth="1"/>
    <col min="9219" max="9219" width="57.109375" style="37" customWidth="1"/>
    <col min="9220" max="9220" width="11.44140625" style="37" customWidth="1"/>
    <col min="9221" max="9221" width="13.33203125" style="37" customWidth="1"/>
    <col min="9222" max="9222" width="19" style="37" customWidth="1"/>
    <col min="9223" max="9223" width="13.33203125" style="37" customWidth="1"/>
    <col min="9224" max="9472" width="9.109375" style="37"/>
    <col min="9473" max="9473" width="4.6640625" style="37" customWidth="1"/>
    <col min="9474" max="9474" width="26.5546875" style="37" customWidth="1"/>
    <col min="9475" max="9475" width="57.109375" style="37" customWidth="1"/>
    <col min="9476" max="9476" width="11.44140625" style="37" customWidth="1"/>
    <col min="9477" max="9477" width="13.33203125" style="37" customWidth="1"/>
    <col min="9478" max="9478" width="19" style="37" customWidth="1"/>
    <col min="9479" max="9479" width="13.33203125" style="37" customWidth="1"/>
    <col min="9480" max="9728" width="9.109375" style="37"/>
    <col min="9729" max="9729" width="4.6640625" style="37" customWidth="1"/>
    <col min="9730" max="9730" width="26.5546875" style="37" customWidth="1"/>
    <col min="9731" max="9731" width="57.109375" style="37" customWidth="1"/>
    <col min="9732" max="9732" width="11.44140625" style="37" customWidth="1"/>
    <col min="9733" max="9733" width="13.33203125" style="37" customWidth="1"/>
    <col min="9734" max="9734" width="19" style="37" customWidth="1"/>
    <col min="9735" max="9735" width="13.33203125" style="37" customWidth="1"/>
    <col min="9736" max="9984" width="9.109375" style="37"/>
    <col min="9985" max="9985" width="4.6640625" style="37" customWidth="1"/>
    <col min="9986" max="9986" width="26.5546875" style="37" customWidth="1"/>
    <col min="9987" max="9987" width="57.109375" style="37" customWidth="1"/>
    <col min="9988" max="9988" width="11.44140625" style="37" customWidth="1"/>
    <col min="9989" max="9989" width="13.33203125" style="37" customWidth="1"/>
    <col min="9990" max="9990" width="19" style="37" customWidth="1"/>
    <col min="9991" max="9991" width="13.33203125" style="37" customWidth="1"/>
    <col min="9992" max="10240" width="9.109375" style="37"/>
    <col min="10241" max="10241" width="4.6640625" style="37" customWidth="1"/>
    <col min="10242" max="10242" width="26.5546875" style="37" customWidth="1"/>
    <col min="10243" max="10243" width="57.109375" style="37" customWidth="1"/>
    <col min="10244" max="10244" width="11.44140625" style="37" customWidth="1"/>
    <col min="10245" max="10245" width="13.33203125" style="37" customWidth="1"/>
    <col min="10246" max="10246" width="19" style="37" customWidth="1"/>
    <col min="10247" max="10247" width="13.33203125" style="37" customWidth="1"/>
    <col min="10248" max="10496" width="9.109375" style="37"/>
    <col min="10497" max="10497" width="4.6640625" style="37" customWidth="1"/>
    <col min="10498" max="10498" width="26.5546875" style="37" customWidth="1"/>
    <col min="10499" max="10499" width="57.109375" style="37" customWidth="1"/>
    <col min="10500" max="10500" width="11.44140625" style="37" customWidth="1"/>
    <col min="10501" max="10501" width="13.33203125" style="37" customWidth="1"/>
    <col min="10502" max="10502" width="19" style="37" customWidth="1"/>
    <col min="10503" max="10503" width="13.33203125" style="37" customWidth="1"/>
    <col min="10504" max="10752" width="9.109375" style="37"/>
    <col min="10753" max="10753" width="4.6640625" style="37" customWidth="1"/>
    <col min="10754" max="10754" width="26.5546875" style="37" customWidth="1"/>
    <col min="10755" max="10755" width="57.109375" style="37" customWidth="1"/>
    <col min="10756" max="10756" width="11.44140625" style="37" customWidth="1"/>
    <col min="10757" max="10757" width="13.33203125" style="37" customWidth="1"/>
    <col min="10758" max="10758" width="19" style="37" customWidth="1"/>
    <col min="10759" max="10759" width="13.33203125" style="37" customWidth="1"/>
    <col min="10760" max="11008" width="9.109375" style="37"/>
    <col min="11009" max="11009" width="4.6640625" style="37" customWidth="1"/>
    <col min="11010" max="11010" width="26.5546875" style="37" customWidth="1"/>
    <col min="11011" max="11011" width="57.109375" style="37" customWidth="1"/>
    <col min="11012" max="11012" width="11.44140625" style="37" customWidth="1"/>
    <col min="11013" max="11013" width="13.33203125" style="37" customWidth="1"/>
    <col min="11014" max="11014" width="19" style="37" customWidth="1"/>
    <col min="11015" max="11015" width="13.33203125" style="37" customWidth="1"/>
    <col min="11016" max="11264" width="9.109375" style="37"/>
    <col min="11265" max="11265" width="4.6640625" style="37" customWidth="1"/>
    <col min="11266" max="11266" width="26.5546875" style="37" customWidth="1"/>
    <col min="11267" max="11267" width="57.109375" style="37" customWidth="1"/>
    <col min="11268" max="11268" width="11.44140625" style="37" customWidth="1"/>
    <col min="11269" max="11269" width="13.33203125" style="37" customWidth="1"/>
    <col min="11270" max="11270" width="19" style="37" customWidth="1"/>
    <col min="11271" max="11271" width="13.33203125" style="37" customWidth="1"/>
    <col min="11272" max="11520" width="9.109375" style="37"/>
    <col min="11521" max="11521" width="4.6640625" style="37" customWidth="1"/>
    <col min="11522" max="11522" width="26.5546875" style="37" customWidth="1"/>
    <col min="11523" max="11523" width="57.109375" style="37" customWidth="1"/>
    <col min="11524" max="11524" width="11.44140625" style="37" customWidth="1"/>
    <col min="11525" max="11525" width="13.33203125" style="37" customWidth="1"/>
    <col min="11526" max="11526" width="19" style="37" customWidth="1"/>
    <col min="11527" max="11527" width="13.33203125" style="37" customWidth="1"/>
    <col min="11528" max="11776" width="9.109375" style="37"/>
    <col min="11777" max="11777" width="4.6640625" style="37" customWidth="1"/>
    <col min="11778" max="11778" width="26.5546875" style="37" customWidth="1"/>
    <col min="11779" max="11779" width="57.109375" style="37" customWidth="1"/>
    <col min="11780" max="11780" width="11.44140625" style="37" customWidth="1"/>
    <col min="11781" max="11781" width="13.33203125" style="37" customWidth="1"/>
    <col min="11782" max="11782" width="19" style="37" customWidth="1"/>
    <col min="11783" max="11783" width="13.33203125" style="37" customWidth="1"/>
    <col min="11784" max="12032" width="9.109375" style="37"/>
    <col min="12033" max="12033" width="4.6640625" style="37" customWidth="1"/>
    <col min="12034" max="12034" width="26.5546875" style="37" customWidth="1"/>
    <col min="12035" max="12035" width="57.109375" style="37" customWidth="1"/>
    <col min="12036" max="12036" width="11.44140625" style="37" customWidth="1"/>
    <col min="12037" max="12037" width="13.33203125" style="37" customWidth="1"/>
    <col min="12038" max="12038" width="19" style="37" customWidth="1"/>
    <col min="12039" max="12039" width="13.33203125" style="37" customWidth="1"/>
    <col min="12040" max="12288" width="9.109375" style="37"/>
    <col min="12289" max="12289" width="4.6640625" style="37" customWidth="1"/>
    <col min="12290" max="12290" width="26.5546875" style="37" customWidth="1"/>
    <col min="12291" max="12291" width="57.109375" style="37" customWidth="1"/>
    <col min="12292" max="12292" width="11.44140625" style="37" customWidth="1"/>
    <col min="12293" max="12293" width="13.33203125" style="37" customWidth="1"/>
    <col min="12294" max="12294" width="19" style="37" customWidth="1"/>
    <col min="12295" max="12295" width="13.33203125" style="37" customWidth="1"/>
    <col min="12296" max="12544" width="9.109375" style="37"/>
    <col min="12545" max="12545" width="4.6640625" style="37" customWidth="1"/>
    <col min="12546" max="12546" width="26.5546875" style="37" customWidth="1"/>
    <col min="12547" max="12547" width="57.109375" style="37" customWidth="1"/>
    <col min="12548" max="12548" width="11.44140625" style="37" customWidth="1"/>
    <col min="12549" max="12549" width="13.33203125" style="37" customWidth="1"/>
    <col min="12550" max="12550" width="19" style="37" customWidth="1"/>
    <col min="12551" max="12551" width="13.33203125" style="37" customWidth="1"/>
    <col min="12552" max="12800" width="9.109375" style="37"/>
    <col min="12801" max="12801" width="4.6640625" style="37" customWidth="1"/>
    <col min="12802" max="12802" width="26.5546875" style="37" customWidth="1"/>
    <col min="12803" max="12803" width="57.109375" style="37" customWidth="1"/>
    <col min="12804" max="12804" width="11.44140625" style="37" customWidth="1"/>
    <col min="12805" max="12805" width="13.33203125" style="37" customWidth="1"/>
    <col min="12806" max="12806" width="19" style="37" customWidth="1"/>
    <col min="12807" max="12807" width="13.33203125" style="37" customWidth="1"/>
    <col min="12808" max="13056" width="9.109375" style="37"/>
    <col min="13057" max="13057" width="4.6640625" style="37" customWidth="1"/>
    <col min="13058" max="13058" width="26.5546875" style="37" customWidth="1"/>
    <col min="13059" max="13059" width="57.109375" style="37" customWidth="1"/>
    <col min="13060" max="13060" width="11.44140625" style="37" customWidth="1"/>
    <col min="13061" max="13061" width="13.33203125" style="37" customWidth="1"/>
    <col min="13062" max="13062" width="19" style="37" customWidth="1"/>
    <col min="13063" max="13063" width="13.33203125" style="37" customWidth="1"/>
    <col min="13064" max="13312" width="9.109375" style="37"/>
    <col min="13313" max="13313" width="4.6640625" style="37" customWidth="1"/>
    <col min="13314" max="13314" width="26.5546875" style="37" customWidth="1"/>
    <col min="13315" max="13315" width="57.109375" style="37" customWidth="1"/>
    <col min="13316" max="13316" width="11.44140625" style="37" customWidth="1"/>
    <col min="13317" max="13317" width="13.33203125" style="37" customWidth="1"/>
    <col min="13318" max="13318" width="19" style="37" customWidth="1"/>
    <col min="13319" max="13319" width="13.33203125" style="37" customWidth="1"/>
    <col min="13320" max="13568" width="9.109375" style="37"/>
    <col min="13569" max="13569" width="4.6640625" style="37" customWidth="1"/>
    <col min="13570" max="13570" width="26.5546875" style="37" customWidth="1"/>
    <col min="13571" max="13571" width="57.109375" style="37" customWidth="1"/>
    <col min="13572" max="13572" width="11.44140625" style="37" customWidth="1"/>
    <col min="13573" max="13573" width="13.33203125" style="37" customWidth="1"/>
    <col min="13574" max="13574" width="19" style="37" customWidth="1"/>
    <col min="13575" max="13575" width="13.33203125" style="37" customWidth="1"/>
    <col min="13576" max="13824" width="9.109375" style="37"/>
    <col min="13825" max="13825" width="4.6640625" style="37" customWidth="1"/>
    <col min="13826" max="13826" width="26.5546875" style="37" customWidth="1"/>
    <col min="13827" max="13827" width="57.109375" style="37" customWidth="1"/>
    <col min="13828" max="13828" width="11.44140625" style="37" customWidth="1"/>
    <col min="13829" max="13829" width="13.33203125" style="37" customWidth="1"/>
    <col min="13830" max="13830" width="19" style="37" customWidth="1"/>
    <col min="13831" max="13831" width="13.33203125" style="37" customWidth="1"/>
    <col min="13832" max="14080" width="9.109375" style="37"/>
    <col min="14081" max="14081" width="4.6640625" style="37" customWidth="1"/>
    <col min="14082" max="14082" width="26.5546875" style="37" customWidth="1"/>
    <col min="14083" max="14083" width="57.109375" style="37" customWidth="1"/>
    <col min="14084" max="14084" width="11.44140625" style="37" customWidth="1"/>
    <col min="14085" max="14085" width="13.33203125" style="37" customWidth="1"/>
    <col min="14086" max="14086" width="19" style="37" customWidth="1"/>
    <col min="14087" max="14087" width="13.33203125" style="37" customWidth="1"/>
    <col min="14088" max="14336" width="9.109375" style="37"/>
    <col min="14337" max="14337" width="4.6640625" style="37" customWidth="1"/>
    <col min="14338" max="14338" width="26.5546875" style="37" customWidth="1"/>
    <col min="14339" max="14339" width="57.109375" style="37" customWidth="1"/>
    <col min="14340" max="14340" width="11.44140625" style="37" customWidth="1"/>
    <col min="14341" max="14341" width="13.33203125" style="37" customWidth="1"/>
    <col min="14342" max="14342" width="19" style="37" customWidth="1"/>
    <col min="14343" max="14343" width="13.33203125" style="37" customWidth="1"/>
    <col min="14344" max="14592" width="9.109375" style="37"/>
    <col min="14593" max="14593" width="4.6640625" style="37" customWidth="1"/>
    <col min="14594" max="14594" width="26.5546875" style="37" customWidth="1"/>
    <col min="14595" max="14595" width="57.109375" style="37" customWidth="1"/>
    <col min="14596" max="14596" width="11.44140625" style="37" customWidth="1"/>
    <col min="14597" max="14597" width="13.33203125" style="37" customWidth="1"/>
    <col min="14598" max="14598" width="19" style="37" customWidth="1"/>
    <col min="14599" max="14599" width="13.33203125" style="37" customWidth="1"/>
    <col min="14600" max="14848" width="9.109375" style="37"/>
    <col min="14849" max="14849" width="4.6640625" style="37" customWidth="1"/>
    <col min="14850" max="14850" width="26.5546875" style="37" customWidth="1"/>
    <col min="14851" max="14851" width="57.109375" style="37" customWidth="1"/>
    <col min="14852" max="14852" width="11.44140625" style="37" customWidth="1"/>
    <col min="14853" max="14853" width="13.33203125" style="37" customWidth="1"/>
    <col min="14854" max="14854" width="19" style="37" customWidth="1"/>
    <col min="14855" max="14855" width="13.33203125" style="37" customWidth="1"/>
    <col min="14856" max="15104" width="9.109375" style="37"/>
    <col min="15105" max="15105" width="4.6640625" style="37" customWidth="1"/>
    <col min="15106" max="15106" width="26.5546875" style="37" customWidth="1"/>
    <col min="15107" max="15107" width="57.109375" style="37" customWidth="1"/>
    <col min="15108" max="15108" width="11.44140625" style="37" customWidth="1"/>
    <col min="15109" max="15109" width="13.33203125" style="37" customWidth="1"/>
    <col min="15110" max="15110" width="19" style="37" customWidth="1"/>
    <col min="15111" max="15111" width="13.33203125" style="37" customWidth="1"/>
    <col min="15112" max="15360" width="9.109375" style="37"/>
    <col min="15361" max="15361" width="4.6640625" style="37" customWidth="1"/>
    <col min="15362" max="15362" width="26.5546875" style="37" customWidth="1"/>
    <col min="15363" max="15363" width="57.109375" style="37" customWidth="1"/>
    <col min="15364" max="15364" width="11.44140625" style="37" customWidth="1"/>
    <col min="15365" max="15365" width="13.33203125" style="37" customWidth="1"/>
    <col min="15366" max="15366" width="19" style="37" customWidth="1"/>
    <col min="15367" max="15367" width="13.33203125" style="37" customWidth="1"/>
    <col min="15368" max="15616" width="9.109375" style="37"/>
    <col min="15617" max="15617" width="4.6640625" style="37" customWidth="1"/>
    <col min="15618" max="15618" width="26.5546875" style="37" customWidth="1"/>
    <col min="15619" max="15619" width="57.109375" style="37" customWidth="1"/>
    <col min="15620" max="15620" width="11.44140625" style="37" customWidth="1"/>
    <col min="15621" max="15621" width="13.33203125" style="37" customWidth="1"/>
    <col min="15622" max="15622" width="19" style="37" customWidth="1"/>
    <col min="15623" max="15623" width="13.33203125" style="37" customWidth="1"/>
    <col min="15624" max="15872" width="9.109375" style="37"/>
    <col min="15873" max="15873" width="4.6640625" style="37" customWidth="1"/>
    <col min="15874" max="15874" width="26.5546875" style="37" customWidth="1"/>
    <col min="15875" max="15875" width="57.109375" style="37" customWidth="1"/>
    <col min="15876" max="15876" width="11.44140625" style="37" customWidth="1"/>
    <col min="15877" max="15877" width="13.33203125" style="37" customWidth="1"/>
    <col min="15878" max="15878" width="19" style="37" customWidth="1"/>
    <col min="15879" max="15879" width="13.33203125" style="37" customWidth="1"/>
    <col min="15880" max="16128" width="9.109375" style="37"/>
    <col min="16129" max="16129" width="4.6640625" style="37" customWidth="1"/>
    <col min="16130" max="16130" width="26.5546875" style="37" customWidth="1"/>
    <col min="16131" max="16131" width="57.109375" style="37" customWidth="1"/>
    <col min="16132" max="16132" width="11.44140625" style="37" customWidth="1"/>
    <col min="16133" max="16133" width="13.33203125" style="37" customWidth="1"/>
    <col min="16134" max="16134" width="19" style="37" customWidth="1"/>
    <col min="16135" max="16135" width="13.33203125" style="37" customWidth="1"/>
    <col min="16136" max="16384" width="9.109375" style="37"/>
  </cols>
  <sheetData>
    <row r="2" spans="2:7" ht="17.399999999999999" x14ac:dyDescent="0.3">
      <c r="B2" s="36" t="s">
        <v>36</v>
      </c>
    </row>
    <row r="3" spans="2:7" ht="15.6" x14ac:dyDescent="0.3">
      <c r="B3" s="38" t="s">
        <v>37</v>
      </c>
      <c r="C3" s="39"/>
      <c r="D3" s="39"/>
      <c r="E3" s="39"/>
      <c r="F3" s="39"/>
    </row>
    <row r="4" spans="2:7" x14ac:dyDescent="0.25">
      <c r="B4" s="40"/>
      <c r="C4" s="39"/>
      <c r="D4" s="39"/>
      <c r="E4" s="39"/>
      <c r="F4" s="39"/>
    </row>
    <row r="5" spans="2:7" x14ac:dyDescent="0.25">
      <c r="B5" s="41" t="s">
        <v>38</v>
      </c>
      <c r="C5" s="39"/>
      <c r="D5" s="39"/>
      <c r="E5" s="39"/>
      <c r="F5" s="39"/>
    </row>
    <row r="6" spans="2:7" x14ac:dyDescent="0.25">
      <c r="B6" s="42" t="s">
        <v>39</v>
      </c>
      <c r="C6" s="43" t="s">
        <v>40</v>
      </c>
      <c r="D6" s="44" t="s">
        <v>41</v>
      </c>
      <c r="E6" s="43" t="s">
        <v>42</v>
      </c>
      <c r="F6" s="43" t="s">
        <v>43</v>
      </c>
    </row>
    <row r="7" spans="2:7" x14ac:dyDescent="0.25">
      <c r="B7" s="45" t="s">
        <v>44</v>
      </c>
      <c r="C7" s="46" t="s">
        <v>37</v>
      </c>
      <c r="D7" s="47">
        <v>53</v>
      </c>
      <c r="E7" s="46" t="s">
        <v>45</v>
      </c>
      <c r="F7" s="46">
        <v>2021</v>
      </c>
      <c r="G7" s="48" t="s">
        <v>46</v>
      </c>
    </row>
    <row r="9" spans="2:7" x14ac:dyDescent="0.25">
      <c r="B9" s="37" t="s">
        <v>47</v>
      </c>
      <c r="C9" s="39" t="s">
        <v>48</v>
      </c>
    </row>
    <row r="10" spans="2:7" x14ac:dyDescent="0.25">
      <c r="B10" s="37" t="s">
        <v>49</v>
      </c>
      <c r="C10" s="39" t="s">
        <v>50</v>
      </c>
    </row>
    <row r="12" spans="2:7" x14ac:dyDescent="0.25">
      <c r="B12" s="37" t="s">
        <v>51</v>
      </c>
      <c r="C12" s="49" t="s">
        <v>52</v>
      </c>
    </row>
    <row r="13" spans="2:7" x14ac:dyDescent="0.25">
      <c r="B13" s="37" t="s">
        <v>53</v>
      </c>
      <c r="C13" s="50" t="s">
        <v>54</v>
      </c>
    </row>
    <row r="14" spans="2:7" x14ac:dyDescent="0.25">
      <c r="B14" s="37" t="s">
        <v>55</v>
      </c>
      <c r="C14" s="50" t="s">
        <v>56</v>
      </c>
    </row>
    <row r="15" spans="2:7" x14ac:dyDescent="0.25">
      <c r="B15" s="37" t="s">
        <v>57</v>
      </c>
      <c r="C15" s="50" t="s">
        <v>58</v>
      </c>
    </row>
    <row r="16" spans="2:7" x14ac:dyDescent="0.25">
      <c r="C16" s="37" t="s">
        <v>59</v>
      </c>
      <c r="F16" s="48" t="s">
        <v>60</v>
      </c>
    </row>
  </sheetData>
  <hyperlinks>
    <hyperlink ref="B7" location="'Data 1'!A1" display="Data 1"/>
    <hyperlink ref="C13" r:id="rId1"/>
    <hyperlink ref="C14" r:id="rId2" display="http://www.eia.gov/"/>
    <hyperlink ref="C15" r:id="rId3" display="mailto:infoctr@eia.gov"/>
  </hyperlinks>
  <pageMargins left="0.75" right="0.75" top="1" bottom="1" header="0.5" footer="0.5"/>
  <pageSetup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B77"/>
  <sheetViews>
    <sheetView workbookViewId="0">
      <pane xSplit="1" ySplit="3" topLeftCell="B53" activePane="bottomRight" state="frozen"/>
      <selection pane="topRight"/>
      <selection pane="bottomLeft"/>
      <selection pane="bottomRight" activeCell="E74" sqref="E74"/>
    </sheetView>
  </sheetViews>
  <sheetFormatPr defaultColWidth="9.109375" defaultRowHeight="13.2" x14ac:dyDescent="0.25"/>
  <cols>
    <col min="1" max="54" width="19" style="37" customWidth="1"/>
    <col min="55" max="256" width="9.109375" style="37"/>
    <col min="257" max="310" width="19" style="37" customWidth="1"/>
    <col min="311" max="512" width="9.109375" style="37"/>
    <col min="513" max="566" width="19" style="37" customWidth="1"/>
    <col min="567" max="768" width="9.109375" style="37"/>
    <col min="769" max="822" width="19" style="37" customWidth="1"/>
    <col min="823" max="1024" width="9.109375" style="37"/>
    <col min="1025" max="1078" width="19" style="37" customWidth="1"/>
    <col min="1079" max="1280" width="9.109375" style="37"/>
    <col min="1281" max="1334" width="19" style="37" customWidth="1"/>
    <col min="1335" max="1536" width="9.109375" style="37"/>
    <col min="1537" max="1590" width="19" style="37" customWidth="1"/>
    <col min="1591" max="1792" width="9.109375" style="37"/>
    <col min="1793" max="1846" width="19" style="37" customWidth="1"/>
    <col min="1847" max="2048" width="9.109375" style="37"/>
    <col min="2049" max="2102" width="19" style="37" customWidth="1"/>
    <col min="2103" max="2304" width="9.109375" style="37"/>
    <col min="2305" max="2358" width="19" style="37" customWidth="1"/>
    <col min="2359" max="2560" width="9.109375" style="37"/>
    <col min="2561" max="2614" width="19" style="37" customWidth="1"/>
    <col min="2615" max="2816" width="9.109375" style="37"/>
    <col min="2817" max="2870" width="19" style="37" customWidth="1"/>
    <col min="2871" max="3072" width="9.109375" style="37"/>
    <col min="3073" max="3126" width="19" style="37" customWidth="1"/>
    <col min="3127" max="3328" width="9.109375" style="37"/>
    <col min="3329" max="3382" width="19" style="37" customWidth="1"/>
    <col min="3383" max="3584" width="9.109375" style="37"/>
    <col min="3585" max="3638" width="19" style="37" customWidth="1"/>
    <col min="3639" max="3840" width="9.109375" style="37"/>
    <col min="3841" max="3894" width="19" style="37" customWidth="1"/>
    <col min="3895" max="4096" width="9.109375" style="37"/>
    <col min="4097" max="4150" width="19" style="37" customWidth="1"/>
    <col min="4151" max="4352" width="9.109375" style="37"/>
    <col min="4353" max="4406" width="19" style="37" customWidth="1"/>
    <col min="4407" max="4608" width="9.109375" style="37"/>
    <col min="4609" max="4662" width="19" style="37" customWidth="1"/>
    <col min="4663" max="4864" width="9.109375" style="37"/>
    <col min="4865" max="4918" width="19" style="37" customWidth="1"/>
    <col min="4919" max="5120" width="9.109375" style="37"/>
    <col min="5121" max="5174" width="19" style="37" customWidth="1"/>
    <col min="5175" max="5376" width="9.109375" style="37"/>
    <col min="5377" max="5430" width="19" style="37" customWidth="1"/>
    <col min="5431" max="5632" width="9.109375" style="37"/>
    <col min="5633" max="5686" width="19" style="37" customWidth="1"/>
    <col min="5687" max="5888" width="9.109375" style="37"/>
    <col min="5889" max="5942" width="19" style="37" customWidth="1"/>
    <col min="5943" max="6144" width="9.109375" style="37"/>
    <col min="6145" max="6198" width="19" style="37" customWidth="1"/>
    <col min="6199" max="6400" width="9.109375" style="37"/>
    <col min="6401" max="6454" width="19" style="37" customWidth="1"/>
    <col min="6455" max="6656" width="9.109375" style="37"/>
    <col min="6657" max="6710" width="19" style="37" customWidth="1"/>
    <col min="6711" max="6912" width="9.109375" style="37"/>
    <col min="6913" max="6966" width="19" style="37" customWidth="1"/>
    <col min="6967" max="7168" width="9.109375" style="37"/>
    <col min="7169" max="7222" width="19" style="37" customWidth="1"/>
    <col min="7223" max="7424" width="9.109375" style="37"/>
    <col min="7425" max="7478" width="19" style="37" customWidth="1"/>
    <col min="7479" max="7680" width="9.109375" style="37"/>
    <col min="7681" max="7734" width="19" style="37" customWidth="1"/>
    <col min="7735" max="7936" width="9.109375" style="37"/>
    <col min="7937" max="7990" width="19" style="37" customWidth="1"/>
    <col min="7991" max="8192" width="9.109375" style="37"/>
    <col min="8193" max="8246" width="19" style="37" customWidth="1"/>
    <col min="8247" max="8448" width="9.109375" style="37"/>
    <col min="8449" max="8502" width="19" style="37" customWidth="1"/>
    <col min="8503" max="8704" width="9.109375" style="37"/>
    <col min="8705" max="8758" width="19" style="37" customWidth="1"/>
    <col min="8759" max="8960" width="9.109375" style="37"/>
    <col min="8961" max="9014" width="19" style="37" customWidth="1"/>
    <col min="9015" max="9216" width="9.109375" style="37"/>
    <col min="9217" max="9270" width="19" style="37" customWidth="1"/>
    <col min="9271" max="9472" width="9.109375" style="37"/>
    <col min="9473" max="9526" width="19" style="37" customWidth="1"/>
    <col min="9527" max="9728" width="9.109375" style="37"/>
    <col min="9729" max="9782" width="19" style="37" customWidth="1"/>
    <col min="9783" max="9984" width="9.109375" style="37"/>
    <col min="9985" max="10038" width="19" style="37" customWidth="1"/>
    <col min="10039" max="10240" width="9.109375" style="37"/>
    <col min="10241" max="10294" width="19" style="37" customWidth="1"/>
    <col min="10295" max="10496" width="9.109375" style="37"/>
    <col min="10497" max="10550" width="19" style="37" customWidth="1"/>
    <col min="10551" max="10752" width="9.109375" style="37"/>
    <col min="10753" max="10806" width="19" style="37" customWidth="1"/>
    <col min="10807" max="11008" width="9.109375" style="37"/>
    <col min="11009" max="11062" width="19" style="37" customWidth="1"/>
    <col min="11063" max="11264" width="9.109375" style="37"/>
    <col min="11265" max="11318" width="19" style="37" customWidth="1"/>
    <col min="11319" max="11520" width="9.109375" style="37"/>
    <col min="11521" max="11574" width="19" style="37" customWidth="1"/>
    <col min="11575" max="11776" width="9.109375" style="37"/>
    <col min="11777" max="11830" width="19" style="37" customWidth="1"/>
    <col min="11831" max="12032" width="9.109375" style="37"/>
    <col min="12033" max="12086" width="19" style="37" customWidth="1"/>
    <col min="12087" max="12288" width="9.109375" style="37"/>
    <col min="12289" max="12342" width="19" style="37" customWidth="1"/>
    <col min="12343" max="12544" width="9.109375" style="37"/>
    <col min="12545" max="12598" width="19" style="37" customWidth="1"/>
    <col min="12599" max="12800" width="9.109375" style="37"/>
    <col min="12801" max="12854" width="19" style="37" customWidth="1"/>
    <col min="12855" max="13056" width="9.109375" style="37"/>
    <col min="13057" max="13110" width="19" style="37" customWidth="1"/>
    <col min="13111" max="13312" width="9.109375" style="37"/>
    <col min="13313" max="13366" width="19" style="37" customWidth="1"/>
    <col min="13367" max="13568" width="9.109375" style="37"/>
    <col min="13569" max="13622" width="19" style="37" customWidth="1"/>
    <col min="13623" max="13824" width="9.109375" style="37"/>
    <col min="13825" max="13878" width="19" style="37" customWidth="1"/>
    <col min="13879" max="14080" width="9.109375" style="37"/>
    <col min="14081" max="14134" width="19" style="37" customWidth="1"/>
    <col min="14135" max="14336" width="9.109375" style="37"/>
    <col min="14337" max="14390" width="19" style="37" customWidth="1"/>
    <col min="14391" max="14592" width="9.109375" style="37"/>
    <col min="14593" max="14646" width="19" style="37" customWidth="1"/>
    <col min="14647" max="14848" width="9.109375" style="37"/>
    <col min="14849" max="14902" width="19" style="37" customWidth="1"/>
    <col min="14903" max="15104" width="9.109375" style="37"/>
    <col min="15105" max="15158" width="19" style="37" customWidth="1"/>
    <col min="15159" max="15360" width="9.109375" style="37"/>
    <col min="15361" max="15414" width="19" style="37" customWidth="1"/>
    <col min="15415" max="15616" width="9.109375" style="37"/>
    <col min="15617" max="15670" width="19" style="37" customWidth="1"/>
    <col min="15671" max="15872" width="9.109375" style="37"/>
    <col min="15873" max="15926" width="19" style="37" customWidth="1"/>
    <col min="15927" max="16128" width="9.109375" style="37"/>
    <col min="16129" max="16182" width="19" style="37" customWidth="1"/>
    <col min="16183" max="16384" width="9.109375" style="37"/>
  </cols>
  <sheetData>
    <row r="1" spans="1:54" ht="15.6" x14ac:dyDescent="0.3">
      <c r="A1" s="51" t="s">
        <v>61</v>
      </c>
      <c r="B1" s="52" t="s">
        <v>62</v>
      </c>
    </row>
    <row r="2" spans="1:54" x14ac:dyDescent="0.25">
      <c r="A2" s="53" t="s">
        <v>63</v>
      </c>
      <c r="B2" s="54" t="s">
        <v>64</v>
      </c>
      <c r="C2" s="54" t="s">
        <v>65</v>
      </c>
      <c r="D2" s="54" t="s">
        <v>66</v>
      </c>
      <c r="E2" s="54" t="s">
        <v>67</v>
      </c>
      <c r="F2" s="54" t="s">
        <v>68</v>
      </c>
      <c r="G2" s="54" t="s">
        <v>69</v>
      </c>
      <c r="H2" s="54" t="s">
        <v>70</v>
      </c>
      <c r="I2" s="54" t="s">
        <v>71</v>
      </c>
      <c r="J2" s="54" t="s">
        <v>72</v>
      </c>
      <c r="K2" s="54" t="s">
        <v>73</v>
      </c>
      <c r="L2" s="54" t="s">
        <v>74</v>
      </c>
      <c r="M2" s="54" t="s">
        <v>75</v>
      </c>
      <c r="N2" s="54" t="s">
        <v>76</v>
      </c>
      <c r="O2" s="54" t="s">
        <v>77</v>
      </c>
      <c r="P2" s="54" t="s">
        <v>78</v>
      </c>
      <c r="Q2" s="54" t="s">
        <v>79</v>
      </c>
      <c r="R2" s="54" t="s">
        <v>80</v>
      </c>
      <c r="S2" s="54" t="s">
        <v>81</v>
      </c>
      <c r="T2" s="54" t="s">
        <v>82</v>
      </c>
      <c r="U2" s="54" t="s">
        <v>83</v>
      </c>
      <c r="V2" s="54" t="s">
        <v>84</v>
      </c>
      <c r="W2" s="54" t="s">
        <v>85</v>
      </c>
      <c r="X2" s="54" t="s">
        <v>86</v>
      </c>
      <c r="Y2" s="54" t="s">
        <v>87</v>
      </c>
      <c r="Z2" s="54" t="s">
        <v>88</v>
      </c>
      <c r="AA2" s="54" t="s">
        <v>89</v>
      </c>
      <c r="AB2" s="54" t="s">
        <v>90</v>
      </c>
      <c r="AC2" s="54" t="s">
        <v>91</v>
      </c>
      <c r="AD2" s="54" t="s">
        <v>92</v>
      </c>
      <c r="AE2" s="54" t="s">
        <v>93</v>
      </c>
      <c r="AF2" s="54" t="s">
        <v>94</v>
      </c>
      <c r="AG2" s="54" t="s">
        <v>95</v>
      </c>
      <c r="AH2" s="54" t="s">
        <v>96</v>
      </c>
      <c r="AI2" s="54" t="s">
        <v>97</v>
      </c>
      <c r="AJ2" s="54" t="s">
        <v>98</v>
      </c>
      <c r="AK2" s="54" t="s">
        <v>99</v>
      </c>
      <c r="AL2" s="54" t="s">
        <v>100</v>
      </c>
      <c r="AM2" s="54" t="s">
        <v>101</v>
      </c>
      <c r="AN2" s="54" t="s">
        <v>102</v>
      </c>
      <c r="AO2" s="54" t="s">
        <v>103</v>
      </c>
      <c r="AP2" s="54" t="s">
        <v>104</v>
      </c>
      <c r="AQ2" s="54" t="s">
        <v>105</v>
      </c>
      <c r="AR2" s="54" t="s">
        <v>106</v>
      </c>
      <c r="AS2" s="54" t="s">
        <v>107</v>
      </c>
      <c r="AT2" s="54" t="s">
        <v>108</v>
      </c>
      <c r="AU2" s="54" t="s">
        <v>109</v>
      </c>
      <c r="AV2" s="54" t="s">
        <v>110</v>
      </c>
      <c r="AW2" s="54" t="s">
        <v>111</v>
      </c>
      <c r="AX2" s="54" t="s">
        <v>112</v>
      </c>
      <c r="AY2" s="54" t="s">
        <v>113</v>
      </c>
      <c r="AZ2" s="54" t="s">
        <v>114</v>
      </c>
      <c r="BA2" s="54" t="s">
        <v>115</v>
      </c>
      <c r="BB2" s="54" t="s">
        <v>116</v>
      </c>
    </row>
    <row r="3" spans="1:54" ht="66" x14ac:dyDescent="0.25">
      <c r="A3" s="55" t="s">
        <v>117</v>
      </c>
      <c r="B3" s="56" t="s">
        <v>118</v>
      </c>
      <c r="C3" s="56" t="s">
        <v>119</v>
      </c>
      <c r="D3" s="56" t="s">
        <v>120</v>
      </c>
      <c r="E3" s="56" t="s">
        <v>121</v>
      </c>
      <c r="F3" s="56" t="s">
        <v>122</v>
      </c>
      <c r="G3" s="56" t="s">
        <v>123</v>
      </c>
      <c r="H3" s="56" t="s">
        <v>124</v>
      </c>
      <c r="I3" s="56" t="s">
        <v>125</v>
      </c>
      <c r="J3" s="56" t="s">
        <v>126</v>
      </c>
      <c r="K3" s="56" t="s">
        <v>127</v>
      </c>
      <c r="L3" s="56" t="s">
        <v>128</v>
      </c>
      <c r="M3" s="56" t="s">
        <v>129</v>
      </c>
      <c r="N3" s="56" t="s">
        <v>130</v>
      </c>
      <c r="O3" s="56" t="s">
        <v>131</v>
      </c>
      <c r="P3" s="56" t="s">
        <v>132</v>
      </c>
      <c r="Q3" s="56" t="s">
        <v>133</v>
      </c>
      <c r="R3" s="56" t="s">
        <v>134</v>
      </c>
      <c r="S3" s="56" t="s">
        <v>135</v>
      </c>
      <c r="T3" s="56" t="s">
        <v>136</v>
      </c>
      <c r="U3" s="56" t="s">
        <v>137</v>
      </c>
      <c r="V3" s="56" t="s">
        <v>138</v>
      </c>
      <c r="W3" s="56" t="s">
        <v>139</v>
      </c>
      <c r="X3" s="56" t="s">
        <v>140</v>
      </c>
      <c r="Y3" s="56" t="s">
        <v>141</v>
      </c>
      <c r="Z3" s="56" t="s">
        <v>142</v>
      </c>
      <c r="AA3" s="56" t="s">
        <v>143</v>
      </c>
      <c r="AB3" s="56" t="s">
        <v>144</v>
      </c>
      <c r="AC3" s="56" t="s">
        <v>145</v>
      </c>
      <c r="AD3" s="56" t="s">
        <v>146</v>
      </c>
      <c r="AE3" s="56" t="s">
        <v>147</v>
      </c>
      <c r="AF3" s="56" t="s">
        <v>148</v>
      </c>
      <c r="AG3" s="56" t="s">
        <v>149</v>
      </c>
      <c r="AH3" s="56" t="s">
        <v>150</v>
      </c>
      <c r="AI3" s="56" t="s">
        <v>151</v>
      </c>
      <c r="AJ3" s="56" t="s">
        <v>152</v>
      </c>
      <c r="AK3" s="56" t="s">
        <v>153</v>
      </c>
      <c r="AL3" s="56" t="s">
        <v>154</v>
      </c>
      <c r="AM3" s="56" t="s">
        <v>155</v>
      </c>
      <c r="AN3" s="56" t="s">
        <v>156</v>
      </c>
      <c r="AO3" s="56" t="s">
        <v>157</v>
      </c>
      <c r="AP3" s="56" t="s">
        <v>158</v>
      </c>
      <c r="AQ3" s="56" t="s">
        <v>159</v>
      </c>
      <c r="AR3" s="56" t="s">
        <v>160</v>
      </c>
      <c r="AS3" s="56" t="s">
        <v>161</v>
      </c>
      <c r="AT3" s="56" t="s">
        <v>162</v>
      </c>
      <c r="AU3" s="56" t="s">
        <v>163</v>
      </c>
      <c r="AV3" s="56" t="s">
        <v>164</v>
      </c>
      <c r="AW3" s="56" t="s">
        <v>165</v>
      </c>
      <c r="AX3" s="56" t="s">
        <v>166</v>
      </c>
      <c r="AY3" s="56" t="s">
        <v>167</v>
      </c>
      <c r="AZ3" s="56" t="s">
        <v>168</v>
      </c>
      <c r="BA3" s="56" t="s">
        <v>169</v>
      </c>
      <c r="BB3" s="56" t="s">
        <v>170</v>
      </c>
    </row>
    <row r="4" spans="1:54" x14ac:dyDescent="0.25">
      <c r="A4" s="57">
        <v>18079</v>
      </c>
      <c r="B4" s="37">
        <v>4971152</v>
      </c>
    </row>
    <row r="5" spans="1:54" x14ac:dyDescent="0.25">
      <c r="A5" s="57">
        <v>18444</v>
      </c>
      <c r="B5" s="37">
        <v>5766542</v>
      </c>
    </row>
    <row r="6" spans="1:54" x14ac:dyDescent="0.25">
      <c r="A6" s="57">
        <v>18809</v>
      </c>
      <c r="B6" s="37">
        <v>6810162</v>
      </c>
    </row>
    <row r="7" spans="1:54" x14ac:dyDescent="0.25">
      <c r="A7" s="57">
        <v>19175</v>
      </c>
      <c r="B7" s="37">
        <v>7294320</v>
      </c>
    </row>
    <row r="8" spans="1:54" x14ac:dyDescent="0.25">
      <c r="A8" s="57">
        <v>19540</v>
      </c>
      <c r="B8" s="37">
        <v>7639270</v>
      </c>
    </row>
    <row r="9" spans="1:54" x14ac:dyDescent="0.25">
      <c r="A9" s="57">
        <v>19905</v>
      </c>
      <c r="B9" s="37">
        <v>8048504</v>
      </c>
    </row>
    <row r="10" spans="1:54" x14ac:dyDescent="0.25">
      <c r="A10" s="57">
        <v>20270</v>
      </c>
      <c r="B10" s="37">
        <v>8693657</v>
      </c>
    </row>
    <row r="11" spans="1:54" x14ac:dyDescent="0.25">
      <c r="A11" s="57">
        <v>20636</v>
      </c>
      <c r="B11" s="37">
        <v>9288865</v>
      </c>
    </row>
    <row r="12" spans="1:54" x14ac:dyDescent="0.25">
      <c r="A12" s="57">
        <v>21001</v>
      </c>
      <c r="B12" s="37">
        <v>9846139</v>
      </c>
    </row>
    <row r="13" spans="1:54" x14ac:dyDescent="0.25">
      <c r="A13" s="57">
        <v>21366</v>
      </c>
      <c r="B13" s="37">
        <v>10302608</v>
      </c>
    </row>
    <row r="14" spans="1:54" x14ac:dyDescent="0.25">
      <c r="A14" s="57">
        <v>21731</v>
      </c>
      <c r="B14" s="37">
        <v>11321181</v>
      </c>
    </row>
    <row r="15" spans="1:54" x14ac:dyDescent="0.25">
      <c r="A15" s="57">
        <v>22097</v>
      </c>
      <c r="B15" s="37">
        <v>11966537</v>
      </c>
    </row>
    <row r="16" spans="1:54" x14ac:dyDescent="0.25">
      <c r="A16" s="57">
        <v>22462</v>
      </c>
      <c r="B16" s="37">
        <v>12489268</v>
      </c>
    </row>
    <row r="17" spans="1:2" x14ac:dyDescent="0.25">
      <c r="A17" s="57">
        <v>22827</v>
      </c>
      <c r="B17" s="37">
        <v>13266513</v>
      </c>
    </row>
    <row r="18" spans="1:2" x14ac:dyDescent="0.25">
      <c r="A18" s="57">
        <v>23192</v>
      </c>
      <c r="B18" s="37">
        <v>13970229</v>
      </c>
    </row>
    <row r="19" spans="1:2" x14ac:dyDescent="0.25">
      <c r="A19" s="57">
        <v>23558</v>
      </c>
      <c r="B19" s="37">
        <v>14813808</v>
      </c>
    </row>
    <row r="20" spans="1:2" x14ac:dyDescent="0.25">
      <c r="A20" s="57">
        <v>23923</v>
      </c>
      <c r="B20" s="37">
        <v>15279716</v>
      </c>
    </row>
    <row r="21" spans="1:2" x14ac:dyDescent="0.25">
      <c r="A21" s="57">
        <v>24288</v>
      </c>
      <c r="B21" s="37">
        <v>16452403</v>
      </c>
    </row>
    <row r="22" spans="1:2" x14ac:dyDescent="0.25">
      <c r="A22" s="57">
        <v>24653</v>
      </c>
      <c r="B22" s="37">
        <v>17388360</v>
      </c>
    </row>
    <row r="23" spans="1:2" x14ac:dyDescent="0.25">
      <c r="A23" s="57">
        <v>25019</v>
      </c>
      <c r="B23" s="37">
        <v>18632062</v>
      </c>
    </row>
    <row r="24" spans="1:2" x14ac:dyDescent="0.25">
      <c r="A24" s="57">
        <v>25384</v>
      </c>
      <c r="B24" s="37">
        <v>20056240</v>
      </c>
    </row>
    <row r="25" spans="1:2" x14ac:dyDescent="0.25">
      <c r="A25" s="57">
        <v>25749</v>
      </c>
      <c r="B25" s="37">
        <v>21139386</v>
      </c>
    </row>
    <row r="26" spans="1:2" x14ac:dyDescent="0.25">
      <c r="A26" s="57">
        <v>26114</v>
      </c>
      <c r="B26" s="37">
        <v>21793454</v>
      </c>
    </row>
    <row r="27" spans="1:2" x14ac:dyDescent="0.25">
      <c r="A27" s="57">
        <v>26480</v>
      </c>
      <c r="B27" s="37">
        <v>22101451</v>
      </c>
    </row>
    <row r="28" spans="1:2" x14ac:dyDescent="0.25">
      <c r="A28" s="57">
        <v>26845</v>
      </c>
      <c r="B28" s="37">
        <v>22049363</v>
      </c>
    </row>
    <row r="29" spans="1:2" x14ac:dyDescent="0.25">
      <c r="A29" s="57">
        <v>27210</v>
      </c>
      <c r="B29" s="37">
        <v>21223133</v>
      </c>
    </row>
    <row r="30" spans="1:2" x14ac:dyDescent="0.25">
      <c r="A30" s="57">
        <v>27575</v>
      </c>
      <c r="B30" s="37">
        <v>19537593</v>
      </c>
    </row>
    <row r="31" spans="1:2" x14ac:dyDescent="0.25">
      <c r="A31" s="57">
        <v>27941</v>
      </c>
      <c r="B31" s="37">
        <v>19946496</v>
      </c>
    </row>
    <row r="32" spans="1:2" x14ac:dyDescent="0.25">
      <c r="A32" s="57">
        <v>28306</v>
      </c>
      <c r="B32" s="37">
        <v>19520581</v>
      </c>
    </row>
    <row r="33" spans="1:2" x14ac:dyDescent="0.25">
      <c r="A33" s="57">
        <v>28671</v>
      </c>
      <c r="B33" s="37">
        <v>19627478</v>
      </c>
    </row>
    <row r="34" spans="1:2" x14ac:dyDescent="0.25">
      <c r="A34" s="57">
        <v>29036</v>
      </c>
      <c r="B34" s="37">
        <v>20240761</v>
      </c>
    </row>
    <row r="35" spans="1:2" x14ac:dyDescent="0.25">
      <c r="A35" s="57">
        <v>29402</v>
      </c>
      <c r="B35" s="37">
        <v>19877293</v>
      </c>
    </row>
    <row r="36" spans="1:2" x14ac:dyDescent="0.25">
      <c r="A36" s="57">
        <v>29767</v>
      </c>
      <c r="B36" s="37">
        <v>19403858</v>
      </c>
    </row>
    <row r="37" spans="1:2" x14ac:dyDescent="0.25">
      <c r="A37" s="57">
        <v>30132</v>
      </c>
      <c r="B37" s="37">
        <v>18001055</v>
      </c>
    </row>
    <row r="38" spans="1:2" x14ac:dyDescent="0.25">
      <c r="A38" s="57">
        <v>30497</v>
      </c>
      <c r="B38" s="37">
        <v>16834912</v>
      </c>
    </row>
    <row r="39" spans="1:2" x14ac:dyDescent="0.25">
      <c r="A39" s="57">
        <v>30863</v>
      </c>
      <c r="B39" s="37">
        <v>17950527</v>
      </c>
    </row>
    <row r="40" spans="1:2" x14ac:dyDescent="0.25">
      <c r="A40" s="57">
        <v>31228</v>
      </c>
      <c r="B40" s="37">
        <v>17280943</v>
      </c>
    </row>
    <row r="41" spans="1:2" x14ac:dyDescent="0.25">
      <c r="A41" s="57">
        <v>31593</v>
      </c>
      <c r="B41" s="37">
        <v>16221296</v>
      </c>
    </row>
    <row r="42" spans="1:2" x14ac:dyDescent="0.25">
      <c r="A42" s="57">
        <v>31958</v>
      </c>
      <c r="B42" s="37">
        <v>17210809</v>
      </c>
    </row>
    <row r="43" spans="1:2" x14ac:dyDescent="0.25">
      <c r="A43" s="57">
        <v>32324</v>
      </c>
      <c r="B43" s="37">
        <v>18029585</v>
      </c>
    </row>
    <row r="44" spans="1:2" x14ac:dyDescent="0.25">
      <c r="A44" s="57">
        <v>32689</v>
      </c>
      <c r="B44" s="37">
        <v>19118997</v>
      </c>
    </row>
    <row r="45" spans="1:2" x14ac:dyDescent="0.25">
      <c r="A45" s="57">
        <v>33054</v>
      </c>
      <c r="B45" s="37">
        <v>19173556</v>
      </c>
    </row>
    <row r="46" spans="1:2" x14ac:dyDescent="0.25">
      <c r="A46" s="57">
        <v>33419</v>
      </c>
      <c r="B46" s="37">
        <v>19562067</v>
      </c>
    </row>
    <row r="47" spans="1:2" x14ac:dyDescent="0.25">
      <c r="A47" s="57">
        <v>33785</v>
      </c>
      <c r="B47" s="37">
        <v>20228228</v>
      </c>
    </row>
    <row r="48" spans="1:2" x14ac:dyDescent="0.25">
      <c r="A48" s="57">
        <v>34150</v>
      </c>
      <c r="B48" s="37">
        <v>20789842</v>
      </c>
    </row>
    <row r="49" spans="1:54" x14ac:dyDescent="0.25">
      <c r="A49" s="57">
        <v>34515</v>
      </c>
      <c r="B49" s="37">
        <v>21247098</v>
      </c>
    </row>
    <row r="50" spans="1:54" x14ac:dyDescent="0.25">
      <c r="A50" s="57">
        <v>34880</v>
      </c>
      <c r="B50" s="37">
        <v>22206889</v>
      </c>
    </row>
    <row r="51" spans="1:54" x14ac:dyDescent="0.25">
      <c r="A51" s="57">
        <v>35246</v>
      </c>
      <c r="B51" s="37">
        <v>22609080</v>
      </c>
    </row>
    <row r="52" spans="1:54" x14ac:dyDescent="0.25">
      <c r="A52" s="57">
        <v>35611</v>
      </c>
      <c r="B52" s="37">
        <v>22737342</v>
      </c>
      <c r="C52" s="37">
        <v>324158</v>
      </c>
      <c r="D52" s="37">
        <v>425393</v>
      </c>
      <c r="E52" s="37">
        <v>134706</v>
      </c>
      <c r="F52" s="37">
        <v>260113</v>
      </c>
      <c r="G52" s="37">
        <v>2146211</v>
      </c>
      <c r="H52" s="37">
        <v>314486</v>
      </c>
      <c r="I52" s="37">
        <v>144708</v>
      </c>
      <c r="J52" s="37">
        <v>46511</v>
      </c>
      <c r="K52" s="37">
        <v>34105</v>
      </c>
      <c r="L52" s="37">
        <v>522116</v>
      </c>
      <c r="M52" s="37">
        <v>371376</v>
      </c>
      <c r="O52" s="37">
        <v>2894</v>
      </c>
      <c r="P52" s="37">
        <v>68669</v>
      </c>
      <c r="Q52" s="37">
        <v>1077139</v>
      </c>
      <c r="R52" s="37">
        <v>556624</v>
      </c>
      <c r="S52" s="37">
        <v>254489</v>
      </c>
      <c r="T52" s="37">
        <v>338231</v>
      </c>
      <c r="U52" s="37">
        <v>227931</v>
      </c>
      <c r="V52" s="37">
        <v>1661061</v>
      </c>
      <c r="W52" s="37">
        <v>6290</v>
      </c>
      <c r="X52" s="37">
        <v>212017</v>
      </c>
      <c r="Y52" s="37">
        <v>402629</v>
      </c>
      <c r="Z52" s="37">
        <v>994342</v>
      </c>
      <c r="AA52" s="37">
        <v>354092</v>
      </c>
      <c r="AB52" s="37">
        <v>255475</v>
      </c>
      <c r="AC52" s="37">
        <v>283294</v>
      </c>
      <c r="AD52" s="37">
        <v>59851</v>
      </c>
      <c r="AE52" s="37">
        <v>132221</v>
      </c>
      <c r="AF52" s="37">
        <v>132128</v>
      </c>
      <c r="AG52" s="37">
        <v>20848</v>
      </c>
      <c r="AH52" s="37">
        <v>717011</v>
      </c>
      <c r="AI52" s="37">
        <v>256464</v>
      </c>
      <c r="AJ52" s="37">
        <v>1324164</v>
      </c>
      <c r="AK52" s="37">
        <v>215634</v>
      </c>
      <c r="AL52" s="37">
        <v>56179</v>
      </c>
      <c r="AM52" s="37">
        <v>897693</v>
      </c>
      <c r="AN52" s="37">
        <v>567050</v>
      </c>
      <c r="AO52" s="37">
        <v>185069</v>
      </c>
      <c r="AP52" s="37">
        <v>706230</v>
      </c>
      <c r="AQ52" s="37">
        <v>117707</v>
      </c>
      <c r="AR52" s="37">
        <v>153917</v>
      </c>
      <c r="AS52" s="37">
        <v>36115</v>
      </c>
      <c r="AT52" s="37">
        <v>282395</v>
      </c>
      <c r="AU52" s="37">
        <v>4116722</v>
      </c>
      <c r="AV52" s="37">
        <v>165253</v>
      </c>
      <c r="AW52" s="37">
        <v>8061</v>
      </c>
      <c r="AX52" s="37">
        <v>248960</v>
      </c>
      <c r="AY52" s="37">
        <v>256366</v>
      </c>
      <c r="AZ52" s="37">
        <v>159504</v>
      </c>
      <c r="BA52" s="37">
        <v>400651</v>
      </c>
      <c r="BB52" s="37">
        <v>100950</v>
      </c>
    </row>
    <row r="53" spans="1:54" x14ac:dyDescent="0.25">
      <c r="A53" s="57">
        <v>35976</v>
      </c>
      <c r="B53" s="37">
        <v>22245956</v>
      </c>
      <c r="C53" s="37">
        <v>329134</v>
      </c>
      <c r="D53" s="37">
        <v>434871</v>
      </c>
      <c r="E53" s="37">
        <v>158355</v>
      </c>
      <c r="F53" s="37">
        <v>266485</v>
      </c>
      <c r="G53" s="37">
        <v>2309883</v>
      </c>
      <c r="H53" s="37">
        <v>330259</v>
      </c>
      <c r="I53" s="37">
        <v>131497</v>
      </c>
      <c r="J53" s="37">
        <v>40809</v>
      </c>
      <c r="K53" s="37">
        <v>30409</v>
      </c>
      <c r="L53" s="37">
        <v>503844</v>
      </c>
      <c r="M53" s="37">
        <v>368579</v>
      </c>
      <c r="O53" s="37">
        <v>2654</v>
      </c>
      <c r="P53" s="37">
        <v>69277</v>
      </c>
      <c r="Q53" s="37">
        <v>957254</v>
      </c>
      <c r="R53" s="37">
        <v>521748</v>
      </c>
      <c r="S53" s="37">
        <v>232057</v>
      </c>
      <c r="T53" s="37">
        <v>326674</v>
      </c>
      <c r="U53" s="37">
        <v>205129</v>
      </c>
      <c r="V53" s="37">
        <v>1569190</v>
      </c>
      <c r="W53" s="37">
        <v>5716</v>
      </c>
      <c r="X53" s="37">
        <v>188552</v>
      </c>
      <c r="Y53" s="37">
        <v>358846</v>
      </c>
      <c r="Z53" s="37">
        <v>876444</v>
      </c>
      <c r="AA53" s="37">
        <v>330513</v>
      </c>
      <c r="AB53" s="37">
        <v>241342</v>
      </c>
      <c r="AC53" s="37">
        <v>258652</v>
      </c>
      <c r="AD53" s="37">
        <v>59840</v>
      </c>
      <c r="AE53" s="37">
        <v>130730</v>
      </c>
      <c r="AF53" s="37">
        <v>148539</v>
      </c>
      <c r="AG53" s="37">
        <v>19127</v>
      </c>
      <c r="AH53" s="37">
        <v>679619</v>
      </c>
      <c r="AI53" s="37">
        <v>245823</v>
      </c>
      <c r="AJ53" s="37">
        <v>1232473</v>
      </c>
      <c r="AK53" s="37">
        <v>214092</v>
      </c>
      <c r="AL53" s="37">
        <v>49541</v>
      </c>
      <c r="AM53" s="37">
        <v>811384</v>
      </c>
      <c r="AN53" s="37">
        <v>575855</v>
      </c>
      <c r="AO53" s="37">
        <v>229403</v>
      </c>
      <c r="AP53" s="37">
        <v>644017</v>
      </c>
      <c r="AQ53" s="37">
        <v>130751</v>
      </c>
      <c r="AR53" s="37">
        <v>159458</v>
      </c>
      <c r="AS53" s="37">
        <v>33042</v>
      </c>
      <c r="AT53" s="37">
        <v>279070</v>
      </c>
      <c r="AU53" s="37">
        <v>4205459</v>
      </c>
      <c r="AV53" s="37">
        <v>169776</v>
      </c>
      <c r="AW53" s="37">
        <v>7735</v>
      </c>
      <c r="AX53" s="37">
        <v>260332</v>
      </c>
      <c r="AY53" s="37">
        <v>290229</v>
      </c>
      <c r="AZ53" s="37">
        <v>142860</v>
      </c>
      <c r="BA53" s="37">
        <v>368022</v>
      </c>
      <c r="BB53" s="37">
        <v>109188</v>
      </c>
    </row>
    <row r="54" spans="1:54" x14ac:dyDescent="0.25">
      <c r="A54" s="57">
        <v>36341</v>
      </c>
      <c r="B54" s="37">
        <v>22405151</v>
      </c>
      <c r="C54" s="37">
        <v>337270</v>
      </c>
      <c r="D54" s="37">
        <v>422816</v>
      </c>
      <c r="E54" s="37">
        <v>165076</v>
      </c>
      <c r="F54" s="37">
        <v>252853</v>
      </c>
      <c r="G54" s="37">
        <v>2339521</v>
      </c>
      <c r="H54" s="37">
        <v>333085</v>
      </c>
      <c r="I54" s="37">
        <v>152237</v>
      </c>
      <c r="J54" s="37">
        <v>56013</v>
      </c>
      <c r="K54" s="37">
        <v>32281</v>
      </c>
      <c r="L54" s="37">
        <v>559366</v>
      </c>
      <c r="M54" s="37">
        <v>337576</v>
      </c>
      <c r="N54" s="37">
        <v>0</v>
      </c>
      <c r="O54" s="37">
        <v>3115</v>
      </c>
      <c r="P54" s="37">
        <v>70672</v>
      </c>
      <c r="Q54" s="37">
        <v>1004281</v>
      </c>
      <c r="R54" s="37">
        <v>556932</v>
      </c>
      <c r="S54" s="37">
        <v>230691</v>
      </c>
      <c r="T54" s="37">
        <v>302932</v>
      </c>
      <c r="U54" s="37">
        <v>218399</v>
      </c>
      <c r="V54" s="37">
        <v>1495478</v>
      </c>
      <c r="W54" s="37">
        <v>6572</v>
      </c>
      <c r="X54" s="37">
        <v>196350</v>
      </c>
      <c r="Y54" s="37">
        <v>344790</v>
      </c>
      <c r="Z54" s="37">
        <v>951143</v>
      </c>
      <c r="AA54" s="37">
        <v>344591</v>
      </c>
      <c r="AB54" s="37">
        <v>306733</v>
      </c>
      <c r="AC54" s="37">
        <v>265798</v>
      </c>
      <c r="AD54" s="37">
        <v>62129</v>
      </c>
      <c r="AE54" s="37">
        <v>121487</v>
      </c>
      <c r="AF54" s="37">
        <v>154689</v>
      </c>
      <c r="AG54" s="37">
        <v>20313</v>
      </c>
      <c r="AH54" s="37">
        <v>715630</v>
      </c>
      <c r="AI54" s="37">
        <v>236264</v>
      </c>
      <c r="AJ54" s="37">
        <v>1274162</v>
      </c>
      <c r="AK54" s="37">
        <v>217159</v>
      </c>
      <c r="AL54" s="37">
        <v>56418</v>
      </c>
      <c r="AM54" s="37">
        <v>841966</v>
      </c>
      <c r="AN54" s="37">
        <v>538329</v>
      </c>
      <c r="AO54" s="37">
        <v>235009</v>
      </c>
      <c r="AP54" s="37">
        <v>688740</v>
      </c>
      <c r="AQ54" s="37">
        <v>118001</v>
      </c>
      <c r="AR54" s="37">
        <v>162926</v>
      </c>
      <c r="AS54" s="37">
        <v>35794</v>
      </c>
      <c r="AT54" s="37">
        <v>278841</v>
      </c>
      <c r="AU54" s="37">
        <v>4009689</v>
      </c>
      <c r="AV54" s="37">
        <v>159889</v>
      </c>
      <c r="AW54" s="37">
        <v>8033</v>
      </c>
      <c r="AX54" s="37">
        <v>276793</v>
      </c>
      <c r="AY54" s="37">
        <v>287302</v>
      </c>
      <c r="AZ54" s="37">
        <v>139961</v>
      </c>
      <c r="BA54" s="37">
        <v>380560</v>
      </c>
      <c r="BB54" s="37">
        <v>96726</v>
      </c>
    </row>
    <row r="55" spans="1:54" x14ac:dyDescent="0.25">
      <c r="A55" s="57">
        <v>36707</v>
      </c>
      <c r="B55" s="37">
        <v>23333121</v>
      </c>
      <c r="C55" s="37">
        <v>353614</v>
      </c>
      <c r="D55" s="37">
        <v>427288</v>
      </c>
      <c r="E55" s="37">
        <v>205235</v>
      </c>
      <c r="F55" s="37">
        <v>251329</v>
      </c>
      <c r="G55" s="37">
        <v>2508797</v>
      </c>
      <c r="H55" s="37">
        <v>367920</v>
      </c>
      <c r="I55" s="37">
        <v>159712</v>
      </c>
      <c r="J55" s="37">
        <v>48387</v>
      </c>
      <c r="K55" s="37">
        <v>33468</v>
      </c>
      <c r="L55" s="37">
        <v>541847</v>
      </c>
      <c r="M55" s="37">
        <v>413845</v>
      </c>
      <c r="N55" s="37">
        <v>0</v>
      </c>
      <c r="O55" s="37">
        <v>2841</v>
      </c>
      <c r="P55" s="37">
        <v>72697</v>
      </c>
      <c r="Q55" s="37">
        <v>1030604</v>
      </c>
      <c r="R55" s="37">
        <v>570558</v>
      </c>
      <c r="S55" s="37">
        <v>232565</v>
      </c>
      <c r="T55" s="37">
        <v>312369</v>
      </c>
      <c r="U55" s="37">
        <v>225168</v>
      </c>
      <c r="V55" s="37">
        <v>1536725</v>
      </c>
      <c r="W55" s="37">
        <v>44779</v>
      </c>
      <c r="X55" s="37">
        <v>212133</v>
      </c>
      <c r="Y55" s="37">
        <v>343314</v>
      </c>
      <c r="Z55" s="37">
        <v>963136</v>
      </c>
      <c r="AA55" s="37">
        <v>362025</v>
      </c>
      <c r="AB55" s="37">
        <v>300652</v>
      </c>
      <c r="AC55" s="37">
        <v>284763</v>
      </c>
      <c r="AD55" s="37">
        <v>67955</v>
      </c>
      <c r="AE55" s="37">
        <v>126962</v>
      </c>
      <c r="AF55" s="37">
        <v>189170</v>
      </c>
      <c r="AG55" s="37">
        <v>24950</v>
      </c>
      <c r="AH55" s="37">
        <v>605275</v>
      </c>
      <c r="AI55" s="37">
        <v>266469</v>
      </c>
      <c r="AJ55" s="37">
        <v>1244746</v>
      </c>
      <c r="AK55" s="37">
        <v>233714</v>
      </c>
      <c r="AL55" s="37">
        <v>56528</v>
      </c>
      <c r="AM55" s="37">
        <v>890962</v>
      </c>
      <c r="AN55" s="37">
        <v>538563</v>
      </c>
      <c r="AO55" s="37">
        <v>224888</v>
      </c>
      <c r="AP55" s="37">
        <v>702847</v>
      </c>
      <c r="AQ55" s="37">
        <v>88419</v>
      </c>
      <c r="AR55" s="37">
        <v>160436</v>
      </c>
      <c r="AS55" s="37">
        <v>37939</v>
      </c>
      <c r="AT55" s="37">
        <v>270658</v>
      </c>
      <c r="AU55" s="37">
        <v>4421777</v>
      </c>
      <c r="AV55" s="37">
        <v>164557</v>
      </c>
      <c r="AW55" s="37">
        <v>10426</v>
      </c>
      <c r="AX55" s="37">
        <v>268770</v>
      </c>
      <c r="AY55" s="37">
        <v>286653</v>
      </c>
      <c r="AZ55" s="37">
        <v>147854</v>
      </c>
      <c r="BA55" s="37">
        <v>393601</v>
      </c>
      <c r="BB55" s="37">
        <v>101314</v>
      </c>
    </row>
    <row r="56" spans="1:54" x14ac:dyDescent="0.25">
      <c r="A56" s="57">
        <v>37072</v>
      </c>
      <c r="B56" s="37">
        <v>22238624</v>
      </c>
      <c r="C56" s="37">
        <v>332693</v>
      </c>
      <c r="D56" s="37">
        <v>408960</v>
      </c>
      <c r="E56" s="37">
        <v>240812</v>
      </c>
      <c r="F56" s="37">
        <v>227943</v>
      </c>
      <c r="G56" s="37">
        <v>2464565</v>
      </c>
      <c r="H56" s="37">
        <v>463738</v>
      </c>
      <c r="I56" s="37">
        <v>146278</v>
      </c>
      <c r="J56" s="37">
        <v>50113</v>
      </c>
      <c r="K56" s="37">
        <v>29802</v>
      </c>
      <c r="L56" s="37">
        <v>543143</v>
      </c>
      <c r="M56" s="37">
        <v>351109</v>
      </c>
      <c r="N56" s="37">
        <v>0</v>
      </c>
      <c r="O56" s="37">
        <v>2818</v>
      </c>
      <c r="P56" s="37">
        <v>80279</v>
      </c>
      <c r="Q56" s="37">
        <v>951616</v>
      </c>
      <c r="R56" s="37">
        <v>501711</v>
      </c>
      <c r="S56" s="37">
        <v>224336</v>
      </c>
      <c r="T56" s="37">
        <v>272500</v>
      </c>
      <c r="U56" s="37">
        <v>208974</v>
      </c>
      <c r="V56" s="37">
        <v>1219013</v>
      </c>
      <c r="W56" s="37">
        <v>95733</v>
      </c>
      <c r="X56" s="37">
        <v>178376</v>
      </c>
      <c r="Y56" s="37">
        <v>349103</v>
      </c>
      <c r="Z56" s="37">
        <v>906001</v>
      </c>
      <c r="AA56" s="37">
        <v>340911</v>
      </c>
      <c r="AB56" s="37">
        <v>332589</v>
      </c>
      <c r="AC56" s="37">
        <v>283793</v>
      </c>
      <c r="AD56" s="37">
        <v>65051</v>
      </c>
      <c r="AE56" s="37">
        <v>121984</v>
      </c>
      <c r="AF56" s="37">
        <v>176835</v>
      </c>
      <c r="AG56" s="37">
        <v>23398</v>
      </c>
      <c r="AH56" s="37">
        <v>564923</v>
      </c>
      <c r="AI56" s="37">
        <v>266283</v>
      </c>
      <c r="AJ56" s="37">
        <v>1171898</v>
      </c>
      <c r="AK56" s="37">
        <v>207108</v>
      </c>
      <c r="AL56" s="37">
        <v>60819</v>
      </c>
      <c r="AM56" s="37">
        <v>804243</v>
      </c>
      <c r="AN56" s="37">
        <v>491458</v>
      </c>
      <c r="AO56" s="37">
        <v>229665</v>
      </c>
      <c r="AP56" s="37">
        <v>634794</v>
      </c>
      <c r="AQ56" s="37">
        <v>95607</v>
      </c>
      <c r="AR56" s="37">
        <v>141785</v>
      </c>
      <c r="AS56" s="37">
        <v>37077</v>
      </c>
      <c r="AT56" s="37">
        <v>255990</v>
      </c>
      <c r="AU56" s="37">
        <v>4252152</v>
      </c>
      <c r="AV56" s="37">
        <v>159299</v>
      </c>
      <c r="AW56" s="37">
        <v>7919</v>
      </c>
      <c r="AX56" s="37">
        <v>237853</v>
      </c>
      <c r="AY56" s="37">
        <v>312114</v>
      </c>
      <c r="AZ56" s="37">
        <v>141090</v>
      </c>
      <c r="BA56" s="37">
        <v>359784</v>
      </c>
      <c r="BB56" s="37">
        <v>98569</v>
      </c>
    </row>
    <row r="57" spans="1:54" x14ac:dyDescent="0.25">
      <c r="A57" s="57">
        <v>37437</v>
      </c>
      <c r="B57" s="37">
        <v>23027021</v>
      </c>
      <c r="C57" s="37">
        <v>379343</v>
      </c>
      <c r="D57" s="37">
        <v>419131</v>
      </c>
      <c r="E57" s="37">
        <v>250734</v>
      </c>
      <c r="F57" s="37">
        <v>242325</v>
      </c>
      <c r="G57" s="37">
        <v>2273193</v>
      </c>
      <c r="H57" s="37">
        <v>459397</v>
      </c>
      <c r="I57" s="37">
        <v>177587</v>
      </c>
      <c r="J57" s="37">
        <v>52216</v>
      </c>
      <c r="K57" s="37">
        <v>32898</v>
      </c>
      <c r="L57" s="37">
        <v>689337</v>
      </c>
      <c r="M57" s="37">
        <v>383546</v>
      </c>
      <c r="N57" s="37">
        <v>109277</v>
      </c>
      <c r="O57" s="37">
        <v>2734</v>
      </c>
      <c r="P57" s="37">
        <v>71481</v>
      </c>
      <c r="Q57" s="37">
        <v>1049878</v>
      </c>
      <c r="R57" s="37">
        <v>539034</v>
      </c>
      <c r="S57" s="37">
        <v>226457</v>
      </c>
      <c r="T57" s="37">
        <v>304992</v>
      </c>
      <c r="U57" s="37">
        <v>227920</v>
      </c>
      <c r="V57" s="37">
        <v>1341444</v>
      </c>
      <c r="W57" s="37">
        <v>101536</v>
      </c>
      <c r="X57" s="37">
        <v>196276</v>
      </c>
      <c r="Y57" s="37">
        <v>393194</v>
      </c>
      <c r="Z57" s="37">
        <v>966354</v>
      </c>
      <c r="AA57" s="37">
        <v>371583</v>
      </c>
      <c r="AB57" s="37">
        <v>343890</v>
      </c>
      <c r="AC57" s="37">
        <v>275629</v>
      </c>
      <c r="AD57" s="37">
        <v>69532</v>
      </c>
      <c r="AE57" s="37">
        <v>120333</v>
      </c>
      <c r="AF57" s="37">
        <v>176596</v>
      </c>
      <c r="AG57" s="37">
        <v>24901</v>
      </c>
      <c r="AH57" s="37">
        <v>598602</v>
      </c>
      <c r="AI57" s="37">
        <v>235098</v>
      </c>
      <c r="AJ57" s="37">
        <v>1199632</v>
      </c>
      <c r="AK57" s="37">
        <v>235376</v>
      </c>
      <c r="AL57" s="37">
        <v>66726</v>
      </c>
      <c r="AM57" s="37">
        <v>830955</v>
      </c>
      <c r="AN57" s="37">
        <v>508298</v>
      </c>
      <c r="AO57" s="37">
        <v>202164</v>
      </c>
      <c r="AP57" s="37">
        <v>675583</v>
      </c>
      <c r="AQ57" s="37">
        <v>87805</v>
      </c>
      <c r="AR57" s="37">
        <v>184803</v>
      </c>
      <c r="AS57" s="37">
        <v>41577</v>
      </c>
      <c r="AT57" s="37">
        <v>255515</v>
      </c>
      <c r="AU57" s="37">
        <v>4303831</v>
      </c>
      <c r="AV57" s="37">
        <v>163379</v>
      </c>
      <c r="AW57" s="37">
        <v>8367</v>
      </c>
      <c r="AX57" s="37">
        <v>258202</v>
      </c>
      <c r="AY57" s="37">
        <v>233716</v>
      </c>
      <c r="AZ57" s="37">
        <v>146455</v>
      </c>
      <c r="BA57" s="37">
        <v>385310</v>
      </c>
      <c r="BB57" s="37">
        <v>112872</v>
      </c>
    </row>
    <row r="58" spans="1:54" x14ac:dyDescent="0.25">
      <c r="A58" s="57">
        <v>37802</v>
      </c>
      <c r="B58" s="37">
        <v>22276502</v>
      </c>
      <c r="C58" s="37">
        <v>350345</v>
      </c>
      <c r="D58" s="37">
        <v>414234</v>
      </c>
      <c r="E58" s="37">
        <v>272921</v>
      </c>
      <c r="F58" s="37">
        <v>246916</v>
      </c>
      <c r="G58" s="37">
        <v>2269405</v>
      </c>
      <c r="H58" s="37">
        <v>436253</v>
      </c>
      <c r="I58" s="37">
        <v>154075</v>
      </c>
      <c r="J58" s="37">
        <v>46177</v>
      </c>
      <c r="K58" s="37">
        <v>32814</v>
      </c>
      <c r="L58" s="37">
        <v>689986</v>
      </c>
      <c r="M58" s="37">
        <v>379761</v>
      </c>
      <c r="N58" s="37">
        <v>98372</v>
      </c>
      <c r="O58" s="37">
        <v>2732</v>
      </c>
      <c r="P58" s="37">
        <v>69868</v>
      </c>
      <c r="Q58" s="37">
        <v>998486</v>
      </c>
      <c r="R58" s="37">
        <v>527037</v>
      </c>
      <c r="S58" s="37">
        <v>230161</v>
      </c>
      <c r="T58" s="37">
        <v>281346</v>
      </c>
      <c r="U58" s="37">
        <v>223226</v>
      </c>
      <c r="V58" s="37">
        <v>1233505</v>
      </c>
      <c r="W58" s="37">
        <v>70832</v>
      </c>
      <c r="X58" s="37">
        <v>197024</v>
      </c>
      <c r="Y58" s="37">
        <v>403991</v>
      </c>
      <c r="Z58" s="37">
        <v>924819</v>
      </c>
      <c r="AA58" s="37">
        <v>371261</v>
      </c>
      <c r="AB58" s="37">
        <v>265842</v>
      </c>
      <c r="AC58" s="37">
        <v>262529</v>
      </c>
      <c r="AD58" s="37">
        <v>68473</v>
      </c>
      <c r="AE58" s="37">
        <v>118922</v>
      </c>
      <c r="AF58" s="37">
        <v>185846</v>
      </c>
      <c r="AG58" s="37">
        <v>54147</v>
      </c>
      <c r="AH58" s="37">
        <v>612890</v>
      </c>
      <c r="AI58" s="37">
        <v>221021</v>
      </c>
      <c r="AJ58" s="37">
        <v>1101618</v>
      </c>
      <c r="AK58" s="37">
        <v>218642</v>
      </c>
      <c r="AL58" s="37">
        <v>60907</v>
      </c>
      <c r="AM58" s="37">
        <v>848388</v>
      </c>
      <c r="AN58" s="37">
        <v>540103</v>
      </c>
      <c r="AO58" s="37">
        <v>212556</v>
      </c>
      <c r="AP58" s="37">
        <v>689992</v>
      </c>
      <c r="AQ58" s="37">
        <v>78456</v>
      </c>
      <c r="AR58" s="37">
        <v>146641</v>
      </c>
      <c r="AS58" s="37">
        <v>43881</v>
      </c>
      <c r="AT58" s="37">
        <v>257315</v>
      </c>
      <c r="AU58" s="37">
        <v>4050632</v>
      </c>
      <c r="AV58" s="37">
        <v>154125</v>
      </c>
      <c r="AW58" s="37">
        <v>8400</v>
      </c>
      <c r="AX58" s="37">
        <v>262970</v>
      </c>
      <c r="AY58" s="37">
        <v>249599</v>
      </c>
      <c r="AZ58" s="37">
        <v>126986</v>
      </c>
      <c r="BA58" s="37">
        <v>394711</v>
      </c>
      <c r="BB58" s="37">
        <v>115358</v>
      </c>
    </row>
    <row r="59" spans="1:54" x14ac:dyDescent="0.25">
      <c r="A59" s="57">
        <v>38168</v>
      </c>
      <c r="B59" s="37">
        <v>22402546</v>
      </c>
      <c r="C59" s="37">
        <v>382367</v>
      </c>
      <c r="D59" s="37">
        <v>406319</v>
      </c>
      <c r="E59" s="37">
        <v>349622</v>
      </c>
      <c r="F59" s="37">
        <v>215124</v>
      </c>
      <c r="G59" s="37">
        <v>2406889</v>
      </c>
      <c r="H59" s="37">
        <v>440378</v>
      </c>
      <c r="I59" s="37">
        <v>162642</v>
      </c>
      <c r="J59" s="37">
        <v>48057</v>
      </c>
      <c r="K59" s="37">
        <v>32227</v>
      </c>
      <c r="L59" s="37">
        <v>734178</v>
      </c>
      <c r="M59" s="37">
        <v>394986</v>
      </c>
      <c r="N59" s="37">
        <v>90025</v>
      </c>
      <c r="O59" s="37">
        <v>2774</v>
      </c>
      <c r="P59" s="37">
        <v>75335</v>
      </c>
      <c r="Q59" s="37">
        <v>953207</v>
      </c>
      <c r="R59" s="37">
        <v>526701</v>
      </c>
      <c r="S59" s="37">
        <v>226819</v>
      </c>
      <c r="T59" s="37">
        <v>256779</v>
      </c>
      <c r="U59" s="37">
        <v>225470</v>
      </c>
      <c r="V59" s="37">
        <v>1281428</v>
      </c>
      <c r="W59" s="37">
        <v>72565</v>
      </c>
      <c r="X59" s="37">
        <v>194725</v>
      </c>
      <c r="Y59" s="37">
        <v>372532</v>
      </c>
      <c r="Z59" s="37">
        <v>916629</v>
      </c>
      <c r="AA59" s="37">
        <v>359898</v>
      </c>
      <c r="AB59" s="37">
        <v>282051</v>
      </c>
      <c r="AC59" s="37">
        <v>263945</v>
      </c>
      <c r="AD59" s="37">
        <v>66829</v>
      </c>
      <c r="AE59" s="37">
        <v>115011</v>
      </c>
      <c r="AF59" s="37">
        <v>214984</v>
      </c>
      <c r="AG59" s="37">
        <v>61172</v>
      </c>
      <c r="AH59" s="37">
        <v>620806</v>
      </c>
      <c r="AI59" s="37">
        <v>223575</v>
      </c>
      <c r="AJ59" s="37">
        <v>1098056</v>
      </c>
      <c r="AK59" s="37">
        <v>224796</v>
      </c>
      <c r="AL59" s="37">
        <v>59986</v>
      </c>
      <c r="AM59" s="37">
        <v>825753</v>
      </c>
      <c r="AN59" s="37">
        <v>538576</v>
      </c>
      <c r="AO59" s="37">
        <v>234997</v>
      </c>
      <c r="AP59" s="37">
        <v>696175</v>
      </c>
      <c r="AQ59" s="37">
        <v>72609</v>
      </c>
      <c r="AR59" s="37">
        <v>163787</v>
      </c>
      <c r="AS59" s="37">
        <v>41679</v>
      </c>
      <c r="AT59" s="37">
        <v>231133</v>
      </c>
      <c r="AU59" s="37">
        <v>3908243</v>
      </c>
      <c r="AV59" s="37">
        <v>155891</v>
      </c>
      <c r="AW59" s="37">
        <v>8685</v>
      </c>
      <c r="AX59" s="37">
        <v>277434</v>
      </c>
      <c r="AY59" s="37">
        <v>262485</v>
      </c>
      <c r="AZ59" s="37">
        <v>122267</v>
      </c>
      <c r="BA59" s="37">
        <v>383316</v>
      </c>
      <c r="BB59" s="37">
        <v>107060</v>
      </c>
    </row>
    <row r="60" spans="1:54" x14ac:dyDescent="0.25">
      <c r="A60" s="57">
        <v>38533</v>
      </c>
      <c r="B60" s="37">
        <v>22014434</v>
      </c>
      <c r="C60" s="37">
        <v>353156</v>
      </c>
      <c r="D60" s="37">
        <v>432972</v>
      </c>
      <c r="E60" s="37">
        <v>321584</v>
      </c>
      <c r="F60" s="37">
        <v>213609</v>
      </c>
      <c r="G60" s="37">
        <v>2248256</v>
      </c>
      <c r="H60" s="37">
        <v>470321</v>
      </c>
      <c r="I60" s="37">
        <v>168067</v>
      </c>
      <c r="J60" s="37">
        <v>46904</v>
      </c>
      <c r="K60" s="37">
        <v>32085</v>
      </c>
      <c r="L60" s="37">
        <v>778209</v>
      </c>
      <c r="M60" s="37">
        <v>412560</v>
      </c>
      <c r="N60" s="37">
        <v>78139</v>
      </c>
      <c r="O60" s="37">
        <v>2795</v>
      </c>
      <c r="P60" s="37">
        <v>74540</v>
      </c>
      <c r="Q60" s="37">
        <v>969642</v>
      </c>
      <c r="R60" s="37">
        <v>531111</v>
      </c>
      <c r="S60" s="37">
        <v>241340</v>
      </c>
      <c r="T60" s="37">
        <v>255123</v>
      </c>
      <c r="U60" s="37">
        <v>234080</v>
      </c>
      <c r="V60" s="37">
        <v>1254370</v>
      </c>
      <c r="W60" s="37">
        <v>57835</v>
      </c>
      <c r="X60" s="37">
        <v>202509</v>
      </c>
      <c r="Y60" s="37">
        <v>378068</v>
      </c>
      <c r="Z60" s="37">
        <v>913827</v>
      </c>
      <c r="AA60" s="37">
        <v>367825</v>
      </c>
      <c r="AB60" s="37">
        <v>301663</v>
      </c>
      <c r="AC60" s="37">
        <v>268040</v>
      </c>
      <c r="AD60" s="37">
        <v>68355</v>
      </c>
      <c r="AE60" s="37">
        <v>119070</v>
      </c>
      <c r="AF60" s="37">
        <v>227149</v>
      </c>
      <c r="AG60" s="37">
        <v>70484</v>
      </c>
      <c r="AH60" s="37">
        <v>602388</v>
      </c>
      <c r="AI60" s="37">
        <v>220717</v>
      </c>
      <c r="AJ60" s="37">
        <v>1080215</v>
      </c>
      <c r="AK60" s="37">
        <v>229715</v>
      </c>
      <c r="AL60" s="37">
        <v>53050</v>
      </c>
      <c r="AM60" s="37">
        <v>825961</v>
      </c>
      <c r="AN60" s="37">
        <v>582536</v>
      </c>
      <c r="AO60" s="37">
        <v>232562</v>
      </c>
      <c r="AP60" s="37">
        <v>691591</v>
      </c>
      <c r="AQ60" s="37">
        <v>80764</v>
      </c>
      <c r="AR60" s="37">
        <v>172032</v>
      </c>
      <c r="AS60" s="37">
        <v>42555</v>
      </c>
      <c r="AT60" s="37">
        <v>230338</v>
      </c>
      <c r="AU60" s="37">
        <v>3503636</v>
      </c>
      <c r="AV60" s="37">
        <v>160275</v>
      </c>
      <c r="AW60" s="37">
        <v>8372</v>
      </c>
      <c r="AX60" s="37">
        <v>299746</v>
      </c>
      <c r="AY60" s="37">
        <v>264754</v>
      </c>
      <c r="AZ60" s="37">
        <v>117136</v>
      </c>
      <c r="BA60" s="37">
        <v>410250</v>
      </c>
      <c r="BB60" s="37">
        <v>108314</v>
      </c>
    </row>
    <row r="61" spans="1:54" x14ac:dyDescent="0.25">
      <c r="A61" s="57">
        <v>38898</v>
      </c>
      <c r="B61" s="37">
        <v>21699071</v>
      </c>
      <c r="C61" s="37">
        <v>391093</v>
      </c>
      <c r="D61" s="37">
        <v>373850</v>
      </c>
      <c r="E61" s="37">
        <v>358069</v>
      </c>
      <c r="F61" s="37">
        <v>233868</v>
      </c>
      <c r="G61" s="37">
        <v>2315721</v>
      </c>
      <c r="H61" s="37">
        <v>450832</v>
      </c>
      <c r="I61" s="37">
        <v>172682</v>
      </c>
      <c r="J61" s="37">
        <v>43190</v>
      </c>
      <c r="K61" s="37">
        <v>29049</v>
      </c>
      <c r="L61" s="37">
        <v>891611</v>
      </c>
      <c r="M61" s="37">
        <v>420469</v>
      </c>
      <c r="N61" s="37">
        <v>102242</v>
      </c>
      <c r="O61" s="37">
        <v>2783</v>
      </c>
      <c r="P61" s="37">
        <v>75709</v>
      </c>
      <c r="Q61" s="37">
        <v>893997</v>
      </c>
      <c r="R61" s="37">
        <v>496303</v>
      </c>
      <c r="S61" s="37">
        <v>238454</v>
      </c>
      <c r="T61" s="37">
        <v>264253</v>
      </c>
      <c r="U61" s="37">
        <v>211049</v>
      </c>
      <c r="V61" s="37">
        <v>1217871</v>
      </c>
      <c r="W61" s="37">
        <v>49605</v>
      </c>
      <c r="X61" s="37">
        <v>182294</v>
      </c>
      <c r="Y61" s="37">
        <v>370664</v>
      </c>
      <c r="Z61" s="37">
        <v>803336</v>
      </c>
      <c r="AA61" s="37">
        <v>352570</v>
      </c>
      <c r="AB61" s="37">
        <v>307305</v>
      </c>
      <c r="AC61" s="37">
        <v>252697</v>
      </c>
      <c r="AD61" s="37">
        <v>73879</v>
      </c>
      <c r="AE61" s="37">
        <v>129885</v>
      </c>
      <c r="AF61" s="37">
        <v>249608</v>
      </c>
      <c r="AG61" s="37">
        <v>62549</v>
      </c>
      <c r="AH61" s="37">
        <v>547206</v>
      </c>
      <c r="AI61" s="37">
        <v>223636</v>
      </c>
      <c r="AJ61" s="37">
        <v>1097160</v>
      </c>
      <c r="AK61" s="37">
        <v>223032</v>
      </c>
      <c r="AL61" s="37">
        <v>53336</v>
      </c>
      <c r="AM61" s="37">
        <v>742359</v>
      </c>
      <c r="AN61" s="37">
        <v>624400</v>
      </c>
      <c r="AO61" s="37">
        <v>222608</v>
      </c>
      <c r="AP61" s="37">
        <v>659754</v>
      </c>
      <c r="AQ61" s="37">
        <v>77204</v>
      </c>
      <c r="AR61" s="37">
        <v>174806</v>
      </c>
      <c r="AS61" s="37">
        <v>40739</v>
      </c>
      <c r="AT61" s="37">
        <v>221626</v>
      </c>
      <c r="AU61" s="37">
        <v>3432236</v>
      </c>
      <c r="AV61" s="37">
        <v>187399</v>
      </c>
      <c r="AW61" s="37">
        <v>8056</v>
      </c>
      <c r="AX61" s="37">
        <v>274175</v>
      </c>
      <c r="AY61" s="37">
        <v>263395</v>
      </c>
      <c r="AZ61" s="37">
        <v>113084</v>
      </c>
      <c r="BA61" s="37">
        <v>372462</v>
      </c>
      <c r="BB61" s="37">
        <v>108481</v>
      </c>
    </row>
    <row r="62" spans="1:54" x14ac:dyDescent="0.25">
      <c r="A62" s="57">
        <v>39263</v>
      </c>
      <c r="B62" s="37">
        <v>23103793</v>
      </c>
      <c r="C62" s="37">
        <v>418512</v>
      </c>
      <c r="D62" s="37">
        <v>369967</v>
      </c>
      <c r="E62" s="37">
        <v>392954</v>
      </c>
      <c r="F62" s="37">
        <v>226439</v>
      </c>
      <c r="G62" s="37">
        <v>2395674</v>
      </c>
      <c r="H62" s="37">
        <v>504775</v>
      </c>
      <c r="I62" s="37">
        <v>180181</v>
      </c>
      <c r="J62" s="37">
        <v>48155</v>
      </c>
      <c r="K62" s="37">
        <v>32966</v>
      </c>
      <c r="L62" s="37">
        <v>917244</v>
      </c>
      <c r="M62" s="37">
        <v>441107</v>
      </c>
      <c r="N62" s="37">
        <v>115528</v>
      </c>
      <c r="O62" s="37">
        <v>2850</v>
      </c>
      <c r="P62" s="37">
        <v>81937</v>
      </c>
      <c r="Q62" s="37">
        <v>965591</v>
      </c>
      <c r="R62" s="37">
        <v>535796</v>
      </c>
      <c r="S62" s="37">
        <v>293274</v>
      </c>
      <c r="T62" s="37">
        <v>286538</v>
      </c>
      <c r="U62" s="37">
        <v>229799</v>
      </c>
      <c r="V62" s="37">
        <v>1289421</v>
      </c>
      <c r="W62" s="37">
        <v>63183</v>
      </c>
      <c r="X62" s="37">
        <v>201053</v>
      </c>
      <c r="Y62" s="37">
        <v>408704</v>
      </c>
      <c r="Z62" s="37">
        <v>798126</v>
      </c>
      <c r="AA62" s="37">
        <v>388335</v>
      </c>
      <c r="AB62" s="37">
        <v>364067</v>
      </c>
      <c r="AC62" s="37">
        <v>272536</v>
      </c>
      <c r="AD62" s="37">
        <v>73822</v>
      </c>
      <c r="AE62" s="37">
        <v>150808</v>
      </c>
      <c r="AF62" s="37">
        <v>254406</v>
      </c>
      <c r="AG62" s="37">
        <v>62132</v>
      </c>
      <c r="AH62" s="37">
        <v>618965</v>
      </c>
      <c r="AI62" s="37">
        <v>234236</v>
      </c>
      <c r="AJ62" s="37">
        <v>1187059</v>
      </c>
      <c r="AK62" s="37">
        <v>237354</v>
      </c>
      <c r="AL62" s="37">
        <v>59453</v>
      </c>
      <c r="AM62" s="37">
        <v>806350</v>
      </c>
      <c r="AN62" s="37">
        <v>658379</v>
      </c>
      <c r="AO62" s="37">
        <v>251927</v>
      </c>
      <c r="AP62" s="37">
        <v>752401</v>
      </c>
      <c r="AQ62" s="37">
        <v>87972</v>
      </c>
      <c r="AR62" s="37">
        <v>175701</v>
      </c>
      <c r="AS62" s="37">
        <v>53938</v>
      </c>
      <c r="AT62" s="37">
        <v>221118</v>
      </c>
      <c r="AU62" s="37">
        <v>3516706</v>
      </c>
      <c r="AV62" s="37">
        <v>219700</v>
      </c>
      <c r="AW62" s="37">
        <v>8867</v>
      </c>
      <c r="AX62" s="37">
        <v>319913</v>
      </c>
      <c r="AY62" s="37">
        <v>272613</v>
      </c>
      <c r="AZ62" s="37">
        <v>115974</v>
      </c>
      <c r="BA62" s="37">
        <v>398370</v>
      </c>
      <c r="BB62" s="37">
        <v>140912</v>
      </c>
    </row>
    <row r="63" spans="1:54" x14ac:dyDescent="0.25">
      <c r="A63" s="57">
        <v>39629</v>
      </c>
      <c r="B63" s="37">
        <v>23277008</v>
      </c>
      <c r="C63" s="37">
        <v>404157</v>
      </c>
      <c r="D63" s="37">
        <v>341888</v>
      </c>
      <c r="E63" s="37">
        <v>399188</v>
      </c>
      <c r="F63" s="37">
        <v>234901</v>
      </c>
      <c r="G63" s="37">
        <v>2405266</v>
      </c>
      <c r="H63" s="37">
        <v>504783</v>
      </c>
      <c r="I63" s="37">
        <v>166801</v>
      </c>
      <c r="J63" s="37">
        <v>48162</v>
      </c>
      <c r="K63" s="37">
        <v>31880</v>
      </c>
      <c r="L63" s="37">
        <v>942699</v>
      </c>
      <c r="M63" s="37">
        <v>425043</v>
      </c>
      <c r="N63" s="37">
        <v>102389</v>
      </c>
      <c r="O63" s="37">
        <v>2702</v>
      </c>
      <c r="P63" s="37">
        <v>88515</v>
      </c>
      <c r="Q63" s="37">
        <v>1000501</v>
      </c>
      <c r="R63" s="37">
        <v>551424</v>
      </c>
      <c r="S63" s="37">
        <v>325772</v>
      </c>
      <c r="T63" s="37">
        <v>282904</v>
      </c>
      <c r="U63" s="37">
        <v>225295</v>
      </c>
      <c r="V63" s="37">
        <v>1238661</v>
      </c>
      <c r="W63" s="37">
        <v>70146</v>
      </c>
      <c r="X63" s="37">
        <v>196067</v>
      </c>
      <c r="Y63" s="37">
        <v>406719</v>
      </c>
      <c r="Z63" s="37">
        <v>779602</v>
      </c>
      <c r="AA63" s="37">
        <v>425352</v>
      </c>
      <c r="AB63" s="37">
        <v>355006</v>
      </c>
      <c r="AC63" s="37">
        <v>296058</v>
      </c>
      <c r="AD63" s="37">
        <v>76422</v>
      </c>
      <c r="AE63" s="37">
        <v>171005</v>
      </c>
      <c r="AF63" s="37">
        <v>264596</v>
      </c>
      <c r="AG63" s="37">
        <v>71179</v>
      </c>
      <c r="AH63" s="37">
        <v>614908</v>
      </c>
      <c r="AI63" s="37">
        <v>246665</v>
      </c>
      <c r="AJ63" s="37">
        <v>1180356</v>
      </c>
      <c r="AK63" s="37">
        <v>243090</v>
      </c>
      <c r="AL63" s="37">
        <v>63097</v>
      </c>
      <c r="AM63" s="37">
        <v>792247</v>
      </c>
      <c r="AN63" s="37">
        <v>687989</v>
      </c>
      <c r="AO63" s="37">
        <v>268484</v>
      </c>
      <c r="AP63" s="37">
        <v>749884</v>
      </c>
      <c r="AQ63" s="37">
        <v>89256</v>
      </c>
      <c r="AR63" s="37">
        <v>170077</v>
      </c>
      <c r="AS63" s="37">
        <v>65258</v>
      </c>
      <c r="AT63" s="37">
        <v>229935</v>
      </c>
      <c r="AU63" s="37">
        <v>3546804</v>
      </c>
      <c r="AV63" s="37">
        <v>224188</v>
      </c>
      <c r="AW63" s="37">
        <v>8624</v>
      </c>
      <c r="AX63" s="37">
        <v>299364</v>
      </c>
      <c r="AY63" s="37">
        <v>298140</v>
      </c>
      <c r="AZ63" s="37">
        <v>111480</v>
      </c>
      <c r="BA63" s="37">
        <v>409377</v>
      </c>
      <c r="BB63" s="37">
        <v>142705</v>
      </c>
    </row>
    <row r="64" spans="1:54" x14ac:dyDescent="0.25">
      <c r="A64" s="57">
        <v>39994</v>
      </c>
      <c r="B64" s="37">
        <v>22910078</v>
      </c>
      <c r="C64" s="37">
        <v>454456</v>
      </c>
      <c r="D64" s="37">
        <v>342261</v>
      </c>
      <c r="E64" s="37">
        <v>369739</v>
      </c>
      <c r="F64" s="37">
        <v>244193</v>
      </c>
      <c r="G64" s="37">
        <v>2328504</v>
      </c>
      <c r="H64" s="37">
        <v>523726</v>
      </c>
      <c r="I64" s="37">
        <v>185056</v>
      </c>
      <c r="J64" s="37">
        <v>50148</v>
      </c>
      <c r="K64" s="37">
        <v>33177</v>
      </c>
      <c r="L64" s="37">
        <v>1055340</v>
      </c>
      <c r="M64" s="37">
        <v>462799</v>
      </c>
      <c r="N64" s="37">
        <v>103976</v>
      </c>
      <c r="O64" s="37">
        <v>2607</v>
      </c>
      <c r="P64" s="37">
        <v>85197</v>
      </c>
      <c r="Q64" s="37">
        <v>956068</v>
      </c>
      <c r="R64" s="37">
        <v>506944</v>
      </c>
      <c r="S64" s="37">
        <v>315186</v>
      </c>
      <c r="T64" s="37">
        <v>286973</v>
      </c>
      <c r="U64" s="37">
        <v>206833</v>
      </c>
      <c r="V64" s="37">
        <v>1189744</v>
      </c>
      <c r="W64" s="37">
        <v>70334</v>
      </c>
      <c r="X64" s="37">
        <v>196510</v>
      </c>
      <c r="Y64" s="37">
        <v>395852</v>
      </c>
      <c r="Z64" s="37">
        <v>735340</v>
      </c>
      <c r="AA64" s="37">
        <v>394136</v>
      </c>
      <c r="AB64" s="37">
        <v>364323</v>
      </c>
      <c r="AC64" s="37">
        <v>264867</v>
      </c>
      <c r="AD64" s="37">
        <v>75802</v>
      </c>
      <c r="AE64" s="37">
        <v>163474</v>
      </c>
      <c r="AF64" s="37">
        <v>275468</v>
      </c>
      <c r="AG64" s="37">
        <v>59950</v>
      </c>
      <c r="AH64" s="37">
        <v>620790</v>
      </c>
      <c r="AI64" s="37">
        <v>241194</v>
      </c>
      <c r="AJ64" s="37">
        <v>1142625</v>
      </c>
      <c r="AK64" s="37">
        <v>247047</v>
      </c>
      <c r="AL64" s="37">
        <v>54564</v>
      </c>
      <c r="AM64" s="37">
        <v>740925</v>
      </c>
      <c r="AN64" s="37">
        <v>659305</v>
      </c>
      <c r="AO64" s="37">
        <v>248864</v>
      </c>
      <c r="AP64" s="37">
        <v>809707</v>
      </c>
      <c r="AQ64" s="37">
        <v>92743</v>
      </c>
      <c r="AR64" s="37">
        <v>190928</v>
      </c>
      <c r="AS64" s="37">
        <v>66185</v>
      </c>
      <c r="AT64" s="37">
        <v>216945</v>
      </c>
      <c r="AU64" s="37">
        <v>3387341</v>
      </c>
      <c r="AV64" s="37">
        <v>214220</v>
      </c>
      <c r="AW64" s="37">
        <v>8638</v>
      </c>
      <c r="AX64" s="37">
        <v>319134</v>
      </c>
      <c r="AY64" s="37">
        <v>310428</v>
      </c>
      <c r="AZ64" s="37">
        <v>109652</v>
      </c>
      <c r="BA64" s="37">
        <v>387066</v>
      </c>
      <c r="BB64" s="37">
        <v>142793</v>
      </c>
    </row>
    <row r="65" spans="1:54" x14ac:dyDescent="0.25">
      <c r="A65" s="58">
        <v>40359</v>
      </c>
      <c r="B65" s="59">
        <v>24086797</v>
      </c>
      <c r="C65" s="37">
        <v>534779</v>
      </c>
      <c r="D65" s="37">
        <v>333312</v>
      </c>
      <c r="E65" s="37">
        <v>330914</v>
      </c>
      <c r="F65" s="37">
        <v>271515</v>
      </c>
      <c r="G65" s="37">
        <v>2273128</v>
      </c>
      <c r="H65" s="37">
        <v>501350</v>
      </c>
      <c r="I65" s="37">
        <v>199426</v>
      </c>
      <c r="J65" s="37">
        <v>54825</v>
      </c>
      <c r="K65" s="37">
        <v>33251</v>
      </c>
      <c r="L65" s="59">
        <v>1158452</v>
      </c>
      <c r="M65" s="37">
        <v>530030</v>
      </c>
      <c r="N65" s="37">
        <v>108490</v>
      </c>
      <c r="O65" s="37">
        <v>2627</v>
      </c>
      <c r="P65" s="37">
        <v>83326</v>
      </c>
      <c r="Q65" s="37">
        <v>966678</v>
      </c>
      <c r="R65" s="37">
        <v>573866</v>
      </c>
      <c r="S65" s="37">
        <v>311075</v>
      </c>
      <c r="T65" s="37">
        <v>275184</v>
      </c>
      <c r="U65" s="37">
        <v>232099</v>
      </c>
      <c r="V65" s="37">
        <v>1354641</v>
      </c>
      <c r="W65" s="37">
        <v>77575</v>
      </c>
      <c r="X65" s="37">
        <v>212020</v>
      </c>
      <c r="Y65" s="37">
        <v>432297</v>
      </c>
      <c r="Z65" s="37">
        <v>746748</v>
      </c>
      <c r="AA65" s="37">
        <v>422968</v>
      </c>
      <c r="AB65" s="37">
        <v>438733</v>
      </c>
      <c r="AC65" s="37">
        <v>280181</v>
      </c>
      <c r="AD65" s="37">
        <v>72025</v>
      </c>
      <c r="AE65" s="37">
        <v>168944</v>
      </c>
      <c r="AF65" s="37">
        <v>259251</v>
      </c>
      <c r="AG65" s="37">
        <v>60378</v>
      </c>
      <c r="AH65" s="37">
        <v>654458</v>
      </c>
      <c r="AI65" s="37">
        <v>241137</v>
      </c>
      <c r="AJ65" s="37">
        <v>1198127</v>
      </c>
      <c r="AK65" s="37">
        <v>304148</v>
      </c>
      <c r="AL65" s="37">
        <v>66395</v>
      </c>
      <c r="AM65" s="37">
        <v>784293</v>
      </c>
      <c r="AN65" s="37">
        <v>675727</v>
      </c>
      <c r="AO65" s="37">
        <v>239325</v>
      </c>
      <c r="AP65" s="37">
        <v>879365</v>
      </c>
      <c r="AQ65" s="37">
        <v>94110</v>
      </c>
      <c r="AR65" s="37">
        <v>220235</v>
      </c>
      <c r="AS65" s="37">
        <v>72563</v>
      </c>
      <c r="AT65" s="37">
        <v>257443</v>
      </c>
      <c r="AU65" s="37">
        <v>3574398</v>
      </c>
      <c r="AV65" s="37">
        <v>219213</v>
      </c>
      <c r="AW65" s="37">
        <v>8443</v>
      </c>
      <c r="AX65" s="37">
        <v>375421</v>
      </c>
      <c r="AY65" s="37">
        <v>285726</v>
      </c>
      <c r="AZ65" s="37">
        <v>113179</v>
      </c>
      <c r="BA65" s="37">
        <v>372898</v>
      </c>
      <c r="BB65" s="37">
        <v>150106</v>
      </c>
    </row>
    <row r="66" spans="1:54" x14ac:dyDescent="0.25">
      <c r="A66" s="58">
        <v>40724</v>
      </c>
      <c r="B66" s="59">
        <v>24477425</v>
      </c>
      <c r="C66" s="37">
        <v>598514</v>
      </c>
      <c r="D66" s="37">
        <v>335458</v>
      </c>
      <c r="E66" s="37">
        <v>288802</v>
      </c>
      <c r="F66" s="37">
        <v>284076</v>
      </c>
      <c r="G66" s="37">
        <v>2153186</v>
      </c>
      <c r="H66" s="37">
        <v>466680</v>
      </c>
      <c r="I66" s="37">
        <v>230036</v>
      </c>
      <c r="J66" s="37">
        <v>79715</v>
      </c>
      <c r="K66" s="37">
        <v>32862</v>
      </c>
      <c r="L66" s="59">
        <v>1217689</v>
      </c>
      <c r="M66" s="37">
        <v>522897</v>
      </c>
      <c r="N66" s="37">
        <v>101217</v>
      </c>
      <c r="O66" s="37">
        <v>2619</v>
      </c>
      <c r="P66" s="37">
        <v>82544</v>
      </c>
      <c r="Q66" s="37">
        <v>986867</v>
      </c>
      <c r="R66" s="37">
        <v>630669</v>
      </c>
      <c r="S66" s="37">
        <v>306909</v>
      </c>
      <c r="T66" s="37">
        <v>279724</v>
      </c>
      <c r="U66" s="37">
        <v>223034</v>
      </c>
      <c r="V66" s="37">
        <v>1420264</v>
      </c>
      <c r="W66" s="37">
        <v>71690</v>
      </c>
      <c r="X66" s="37">
        <v>193986</v>
      </c>
      <c r="Y66" s="37">
        <v>449194</v>
      </c>
      <c r="Z66" s="37">
        <v>776466</v>
      </c>
      <c r="AA66" s="37">
        <v>420770</v>
      </c>
      <c r="AB66" s="37">
        <v>433538</v>
      </c>
      <c r="AC66" s="37">
        <v>272583</v>
      </c>
      <c r="AD66" s="37">
        <v>78217</v>
      </c>
      <c r="AE66" s="37">
        <v>171777</v>
      </c>
      <c r="AF66" s="37">
        <v>249971</v>
      </c>
      <c r="AG66" s="37">
        <v>69978</v>
      </c>
      <c r="AH66" s="37">
        <v>660743</v>
      </c>
      <c r="AI66" s="37">
        <v>246418</v>
      </c>
      <c r="AJ66" s="37">
        <v>1217324</v>
      </c>
      <c r="AK66" s="37">
        <v>307804</v>
      </c>
      <c r="AL66" s="37">
        <v>72463</v>
      </c>
      <c r="AM66" s="37">
        <v>823548</v>
      </c>
      <c r="AN66" s="37">
        <v>655919</v>
      </c>
      <c r="AO66" s="37">
        <v>199419</v>
      </c>
      <c r="AP66" s="37">
        <v>965742</v>
      </c>
      <c r="AQ66" s="37">
        <v>100455</v>
      </c>
      <c r="AR66" s="37">
        <v>229497</v>
      </c>
      <c r="AS66" s="37">
        <v>73605</v>
      </c>
      <c r="AT66" s="37">
        <v>264231</v>
      </c>
      <c r="AU66" s="37">
        <v>3693905</v>
      </c>
      <c r="AV66" s="37">
        <v>222227</v>
      </c>
      <c r="AW66" s="37">
        <v>8611</v>
      </c>
      <c r="AX66" s="37">
        <v>373444</v>
      </c>
      <c r="AY66" s="37">
        <v>264589</v>
      </c>
      <c r="AZ66" s="37">
        <v>115361</v>
      </c>
      <c r="BA66" s="37">
        <v>393734</v>
      </c>
      <c r="BB66" s="37">
        <v>156455</v>
      </c>
    </row>
    <row r="67" spans="1:54" x14ac:dyDescent="0.25">
      <c r="A67" s="58">
        <v>41090</v>
      </c>
      <c r="B67" s="59">
        <v>25538487</v>
      </c>
      <c r="C67" s="37">
        <v>666712</v>
      </c>
      <c r="D67" s="37">
        <v>343110</v>
      </c>
      <c r="E67" s="37">
        <v>332068</v>
      </c>
      <c r="F67" s="37">
        <v>296132</v>
      </c>
      <c r="G67" s="37">
        <v>2403494</v>
      </c>
      <c r="H67" s="37">
        <v>443750</v>
      </c>
      <c r="I67" s="37">
        <v>229156</v>
      </c>
      <c r="J67" s="37">
        <v>101676</v>
      </c>
      <c r="K67" s="37">
        <v>28561</v>
      </c>
      <c r="L67" s="59">
        <v>1328463</v>
      </c>
      <c r="M67" s="37">
        <v>615771</v>
      </c>
      <c r="N67" s="37">
        <v>93985</v>
      </c>
      <c r="O67" s="37">
        <v>2689</v>
      </c>
      <c r="P67" s="37">
        <v>89004</v>
      </c>
      <c r="Q67" s="37">
        <v>940367</v>
      </c>
      <c r="R67" s="37">
        <v>649921</v>
      </c>
      <c r="S67" s="37">
        <v>295183</v>
      </c>
      <c r="T67" s="37">
        <v>262316</v>
      </c>
      <c r="U67" s="37">
        <v>225924</v>
      </c>
      <c r="V67" s="37">
        <v>1482343</v>
      </c>
      <c r="W67" s="37">
        <v>68266</v>
      </c>
      <c r="X67" s="37">
        <v>208946</v>
      </c>
      <c r="Y67" s="37">
        <v>416350</v>
      </c>
      <c r="Z67" s="37">
        <v>790642</v>
      </c>
      <c r="AA67" s="37">
        <v>422263</v>
      </c>
      <c r="AB67" s="37">
        <v>494016</v>
      </c>
      <c r="AC67" s="37">
        <v>255875</v>
      </c>
      <c r="AD67" s="37">
        <v>73399</v>
      </c>
      <c r="AE67" s="37">
        <v>158757</v>
      </c>
      <c r="AF67" s="37">
        <v>273502</v>
      </c>
      <c r="AG67" s="37">
        <v>72032</v>
      </c>
      <c r="AH67" s="37">
        <v>652060</v>
      </c>
      <c r="AI67" s="37">
        <v>243961</v>
      </c>
      <c r="AJ67" s="37">
        <v>1223036</v>
      </c>
      <c r="AK67" s="37">
        <v>363945</v>
      </c>
      <c r="AL67" s="37">
        <v>72740</v>
      </c>
      <c r="AM67" s="37">
        <v>842959</v>
      </c>
      <c r="AN67" s="37">
        <v>691661</v>
      </c>
      <c r="AO67" s="37">
        <v>215830</v>
      </c>
      <c r="AP67" s="37">
        <v>1037979</v>
      </c>
      <c r="AQ67" s="37">
        <v>95476</v>
      </c>
      <c r="AR67" s="37">
        <v>244850</v>
      </c>
      <c r="AS67" s="37">
        <v>70238</v>
      </c>
      <c r="AT67" s="37">
        <v>277127</v>
      </c>
      <c r="AU67" s="37">
        <v>3850331</v>
      </c>
      <c r="AV67" s="37">
        <v>223039</v>
      </c>
      <c r="AW67" s="37">
        <v>8191</v>
      </c>
      <c r="AX67" s="37">
        <v>410106</v>
      </c>
      <c r="AY67" s="37">
        <v>264540</v>
      </c>
      <c r="AZ67" s="37">
        <v>129753</v>
      </c>
      <c r="BA67" s="37">
        <v>402656</v>
      </c>
      <c r="BB67" s="37">
        <v>153333</v>
      </c>
    </row>
    <row r="68" spans="1:54" x14ac:dyDescent="0.25">
      <c r="A68" s="58">
        <v>41455</v>
      </c>
      <c r="B68" s="59">
        <v>26155071</v>
      </c>
      <c r="C68" s="37">
        <v>615407</v>
      </c>
      <c r="D68" s="37">
        <v>332298</v>
      </c>
      <c r="E68" s="37">
        <v>332073</v>
      </c>
      <c r="F68" s="37">
        <v>282120</v>
      </c>
      <c r="G68" s="37">
        <v>2415571</v>
      </c>
      <c r="H68" s="37">
        <v>467798</v>
      </c>
      <c r="I68" s="37">
        <v>234475</v>
      </c>
      <c r="J68" s="37">
        <v>95978</v>
      </c>
      <c r="K68" s="37">
        <v>32743</v>
      </c>
      <c r="L68" s="59">
        <v>1225676</v>
      </c>
      <c r="M68" s="37">
        <v>625283</v>
      </c>
      <c r="N68" s="37">
        <v>95207</v>
      </c>
      <c r="O68" s="37">
        <v>2855</v>
      </c>
      <c r="P68" s="37">
        <v>104783</v>
      </c>
      <c r="Q68" s="37">
        <v>1056826</v>
      </c>
      <c r="R68" s="37">
        <v>672751</v>
      </c>
      <c r="S68" s="37">
        <v>326140</v>
      </c>
      <c r="T68" s="37">
        <v>283177</v>
      </c>
      <c r="U68" s="37">
        <v>229983</v>
      </c>
      <c r="V68" s="37">
        <v>1396261</v>
      </c>
      <c r="W68" s="37">
        <v>64091</v>
      </c>
      <c r="X68" s="37">
        <v>197356</v>
      </c>
      <c r="Y68" s="37">
        <v>421001</v>
      </c>
      <c r="Z68" s="37">
        <v>814635</v>
      </c>
      <c r="AA68" s="37">
        <v>467874</v>
      </c>
      <c r="AB68" s="37">
        <v>420594</v>
      </c>
      <c r="AC68" s="37">
        <v>276967</v>
      </c>
      <c r="AD68" s="37">
        <v>79670</v>
      </c>
      <c r="AE68" s="37">
        <v>173376</v>
      </c>
      <c r="AF68" s="37">
        <v>272965</v>
      </c>
      <c r="AG68" s="37">
        <v>54028</v>
      </c>
      <c r="AH68" s="37">
        <v>682247</v>
      </c>
      <c r="AI68" s="37">
        <v>245502</v>
      </c>
      <c r="AJ68" s="37">
        <v>1273263</v>
      </c>
      <c r="AK68" s="37">
        <v>440175</v>
      </c>
      <c r="AL68" s="37">
        <v>81593</v>
      </c>
      <c r="AM68" s="37">
        <v>912403</v>
      </c>
      <c r="AN68" s="37">
        <v>658569</v>
      </c>
      <c r="AO68" s="37">
        <v>240418</v>
      </c>
      <c r="AP68" s="37">
        <v>1121696</v>
      </c>
      <c r="AQ68" s="37">
        <v>85537</v>
      </c>
      <c r="AR68" s="37">
        <v>232297</v>
      </c>
      <c r="AS68" s="37">
        <v>81986</v>
      </c>
      <c r="AT68" s="37">
        <v>279441</v>
      </c>
      <c r="AU68" s="37">
        <v>4021851</v>
      </c>
      <c r="AV68" s="37">
        <v>247285</v>
      </c>
      <c r="AW68" s="37">
        <v>9602</v>
      </c>
      <c r="AX68" s="37">
        <v>418506</v>
      </c>
      <c r="AY68" s="37">
        <v>318292</v>
      </c>
      <c r="AZ68" s="37">
        <v>142082</v>
      </c>
      <c r="BA68" s="37">
        <v>442544</v>
      </c>
      <c r="BB68" s="37">
        <v>149820</v>
      </c>
    </row>
    <row r="69" spans="1:54" x14ac:dyDescent="0.25">
      <c r="A69" s="58">
        <v>41820</v>
      </c>
      <c r="B69" s="59">
        <v>26593375</v>
      </c>
      <c r="C69" s="37">
        <v>635323</v>
      </c>
      <c r="D69" s="37">
        <v>328945</v>
      </c>
      <c r="E69" s="37">
        <v>306715</v>
      </c>
      <c r="F69" s="37">
        <v>268444</v>
      </c>
      <c r="G69" s="37">
        <v>2339392</v>
      </c>
      <c r="H69" s="37">
        <v>478987</v>
      </c>
      <c r="I69" s="37">
        <v>235859</v>
      </c>
      <c r="J69" s="37">
        <v>101379</v>
      </c>
      <c r="K69" s="37">
        <v>33848</v>
      </c>
      <c r="L69" s="59">
        <v>1214531</v>
      </c>
      <c r="M69" s="37">
        <v>652408</v>
      </c>
      <c r="N69" s="37">
        <v>93814</v>
      </c>
      <c r="O69" s="37">
        <v>2916</v>
      </c>
      <c r="P69" s="37">
        <v>92046</v>
      </c>
      <c r="Q69" s="37">
        <v>1093931</v>
      </c>
      <c r="R69" s="37">
        <v>713416</v>
      </c>
      <c r="S69" s="37">
        <v>329385</v>
      </c>
      <c r="T69" s="37">
        <v>284651</v>
      </c>
      <c r="U69" s="37">
        <v>255434</v>
      </c>
      <c r="V69" s="37">
        <v>1423424</v>
      </c>
      <c r="W69" s="37">
        <v>60663</v>
      </c>
      <c r="X69" s="37">
        <v>207103</v>
      </c>
      <c r="Y69" s="37">
        <v>421671</v>
      </c>
      <c r="Z69" s="37">
        <v>861755</v>
      </c>
      <c r="AA69" s="37">
        <v>474520</v>
      </c>
      <c r="AB69" s="37">
        <v>427584</v>
      </c>
      <c r="AC69" s="37">
        <v>297087</v>
      </c>
      <c r="AD69" s="37">
        <v>78110</v>
      </c>
      <c r="AE69" s="37">
        <v>172837</v>
      </c>
      <c r="AF69" s="37">
        <v>253290</v>
      </c>
      <c r="AG69" s="37">
        <v>57018</v>
      </c>
      <c r="AH69" s="37">
        <v>773221</v>
      </c>
      <c r="AI69" s="37">
        <v>247637</v>
      </c>
      <c r="AJ69" s="37">
        <v>1349203</v>
      </c>
      <c r="AK69" s="37">
        <v>452780</v>
      </c>
      <c r="AL69" s="37">
        <v>86881</v>
      </c>
      <c r="AM69" s="37">
        <v>1002345</v>
      </c>
      <c r="AN69" s="37">
        <v>642309</v>
      </c>
      <c r="AO69" s="37">
        <v>220090</v>
      </c>
      <c r="AP69" s="37">
        <v>1244371</v>
      </c>
      <c r="AQ69" s="37">
        <v>88886</v>
      </c>
      <c r="AR69" s="37">
        <v>230525</v>
      </c>
      <c r="AS69" s="37">
        <v>80613</v>
      </c>
      <c r="AT69" s="37">
        <v>305633</v>
      </c>
      <c r="AU69" s="37">
        <v>3928277</v>
      </c>
      <c r="AV69" s="37">
        <v>241737</v>
      </c>
      <c r="AW69" s="37">
        <v>10677</v>
      </c>
      <c r="AX69" s="37">
        <v>419705</v>
      </c>
      <c r="AY69" s="37">
        <v>306675</v>
      </c>
      <c r="AZ69" s="37">
        <v>165341</v>
      </c>
      <c r="BA69" s="37">
        <v>463186</v>
      </c>
      <c r="BB69" s="37">
        <v>136796</v>
      </c>
    </row>
    <row r="70" spans="1:54" x14ac:dyDescent="0.25">
      <c r="A70" s="58">
        <v>42185</v>
      </c>
      <c r="B70" s="59">
        <v>27243858</v>
      </c>
      <c r="C70" s="37">
        <v>681149</v>
      </c>
      <c r="D70" s="37">
        <v>333602</v>
      </c>
      <c r="E70" s="37">
        <v>351263</v>
      </c>
      <c r="F70" s="37">
        <v>291006</v>
      </c>
      <c r="G70" s="37">
        <v>2301217</v>
      </c>
      <c r="H70" s="37">
        <v>466906</v>
      </c>
      <c r="I70" s="37">
        <v>254065</v>
      </c>
      <c r="J70" s="37">
        <v>102693</v>
      </c>
      <c r="K70" s="37">
        <v>32237</v>
      </c>
      <c r="L70" s="59">
        <v>1345790</v>
      </c>
      <c r="M70" s="37">
        <v>694399</v>
      </c>
      <c r="N70" s="37">
        <v>95492</v>
      </c>
      <c r="O70" s="37">
        <v>2924</v>
      </c>
      <c r="P70" s="37">
        <v>104730</v>
      </c>
      <c r="Q70" s="37">
        <v>993548</v>
      </c>
      <c r="R70" s="37">
        <v>718725</v>
      </c>
      <c r="S70" s="37">
        <v>317821</v>
      </c>
      <c r="T70" s="37">
        <v>270938</v>
      </c>
      <c r="U70" s="37">
        <v>270958</v>
      </c>
      <c r="V70" s="37">
        <v>1470354</v>
      </c>
      <c r="W70" s="37">
        <v>52777</v>
      </c>
      <c r="X70" s="37">
        <v>215005</v>
      </c>
      <c r="Y70" s="37">
        <v>444332</v>
      </c>
      <c r="Z70" s="37">
        <v>844801</v>
      </c>
      <c r="AA70" s="37">
        <v>431315</v>
      </c>
      <c r="AB70" s="37">
        <v>521355</v>
      </c>
      <c r="AC70" s="37">
        <v>267673</v>
      </c>
      <c r="AD70" s="37">
        <v>75042</v>
      </c>
      <c r="AE70" s="37">
        <v>161189</v>
      </c>
      <c r="AF70" s="37">
        <v>300002</v>
      </c>
      <c r="AG70" s="37">
        <v>68682</v>
      </c>
      <c r="AH70" s="37">
        <v>745789</v>
      </c>
      <c r="AI70" s="37">
        <v>250518</v>
      </c>
      <c r="AJ70" s="37">
        <v>1353385</v>
      </c>
      <c r="AK70" s="37">
        <v>498576</v>
      </c>
      <c r="AL70" s="37">
        <v>97725</v>
      </c>
      <c r="AM70" s="37">
        <v>966492</v>
      </c>
      <c r="AN70" s="37">
        <v>679457</v>
      </c>
      <c r="AO70" s="37">
        <v>234634</v>
      </c>
      <c r="AP70" s="37">
        <v>1255621</v>
      </c>
      <c r="AQ70" s="37">
        <v>93886</v>
      </c>
      <c r="AR70" s="37">
        <v>275751</v>
      </c>
      <c r="AS70" s="37">
        <v>79099</v>
      </c>
      <c r="AT70" s="37">
        <v>313379</v>
      </c>
      <c r="AU70" s="37">
        <v>4113608</v>
      </c>
      <c r="AV70" s="37">
        <v>232612</v>
      </c>
      <c r="AW70" s="37">
        <v>11950</v>
      </c>
      <c r="AX70" s="37">
        <v>500477</v>
      </c>
      <c r="AY70" s="37">
        <v>307735</v>
      </c>
      <c r="AZ70" s="37">
        <v>174165</v>
      </c>
      <c r="BA70" s="37">
        <v>457743</v>
      </c>
      <c r="BB70" s="37">
        <v>119265</v>
      </c>
    </row>
    <row r="71" spans="1:54" x14ac:dyDescent="0.25">
      <c r="A71" s="58">
        <v>42551</v>
      </c>
      <c r="B71" s="59">
        <v>27444220</v>
      </c>
      <c r="C71" s="37">
        <v>694881</v>
      </c>
      <c r="D71" s="37">
        <v>330552</v>
      </c>
      <c r="E71" s="37">
        <v>360576</v>
      </c>
      <c r="F71" s="37">
        <v>309732</v>
      </c>
      <c r="G71" s="37">
        <v>2172889</v>
      </c>
      <c r="H71" s="37">
        <v>441018</v>
      </c>
      <c r="I71" s="37">
        <v>247958</v>
      </c>
      <c r="J71" s="37">
        <v>108562</v>
      </c>
      <c r="K71" s="37">
        <v>28888</v>
      </c>
      <c r="L71" s="59">
        <v>1382558</v>
      </c>
      <c r="M71" s="37">
        <v>706688</v>
      </c>
      <c r="N71" s="37">
        <v>95832</v>
      </c>
      <c r="O71" s="37">
        <v>3040</v>
      </c>
      <c r="P71" s="37">
        <v>106306</v>
      </c>
      <c r="Q71" s="37">
        <v>1024186</v>
      </c>
      <c r="R71" s="37">
        <v>754276</v>
      </c>
      <c r="S71" s="37">
        <v>330094</v>
      </c>
      <c r="T71" s="37">
        <v>267315</v>
      </c>
      <c r="U71" s="37">
        <v>271845</v>
      </c>
      <c r="V71" s="37">
        <v>1591882</v>
      </c>
      <c r="W71" s="37">
        <v>53128</v>
      </c>
      <c r="X71" s="37">
        <v>219024</v>
      </c>
      <c r="Y71" s="37">
        <v>427946</v>
      </c>
      <c r="Z71" s="37">
        <v>890324</v>
      </c>
      <c r="AA71" s="37">
        <v>449783</v>
      </c>
      <c r="AB71" s="37">
        <v>544464</v>
      </c>
      <c r="AC71" s="37">
        <v>267170</v>
      </c>
      <c r="AD71" s="37">
        <v>75037</v>
      </c>
      <c r="AE71" s="37">
        <v>163362</v>
      </c>
      <c r="AF71" s="37">
        <v>304181</v>
      </c>
      <c r="AG71" s="37">
        <v>57957</v>
      </c>
      <c r="AH71" s="37">
        <v>762958</v>
      </c>
      <c r="AI71" s="37">
        <v>247761</v>
      </c>
      <c r="AJ71" s="37">
        <v>1296270</v>
      </c>
      <c r="AK71" s="37">
        <v>522002</v>
      </c>
      <c r="AL71" s="37">
        <v>102322</v>
      </c>
      <c r="AM71" s="37">
        <v>928492</v>
      </c>
      <c r="AN71" s="37">
        <v>701776</v>
      </c>
      <c r="AO71" s="37">
        <v>235912</v>
      </c>
      <c r="AP71" s="37">
        <v>1301000</v>
      </c>
      <c r="AQ71" s="37">
        <v>85977</v>
      </c>
      <c r="AR71" s="37">
        <v>275946</v>
      </c>
      <c r="AS71" s="37">
        <v>80513</v>
      </c>
      <c r="AT71" s="37">
        <v>326546</v>
      </c>
      <c r="AU71" s="37">
        <v>4020915</v>
      </c>
      <c r="AV71" s="37">
        <v>240114</v>
      </c>
      <c r="AW71" s="37">
        <v>12094</v>
      </c>
      <c r="AX71" s="37">
        <v>543343</v>
      </c>
      <c r="AY71" s="37">
        <v>301418</v>
      </c>
      <c r="AZ71" s="37">
        <v>171825</v>
      </c>
      <c r="BA71" s="37">
        <v>482233</v>
      </c>
      <c r="BB71" s="37">
        <v>123351</v>
      </c>
    </row>
    <row r="72" spans="1:54" x14ac:dyDescent="0.25">
      <c r="A72" s="58">
        <v>42916</v>
      </c>
      <c r="B72" s="59">
        <v>27139699</v>
      </c>
      <c r="C72" s="37">
        <v>661366</v>
      </c>
      <c r="D72" s="37">
        <v>347725</v>
      </c>
      <c r="E72" s="37">
        <v>321451</v>
      </c>
      <c r="F72" s="37">
        <v>311609</v>
      </c>
      <c r="G72" s="37">
        <v>2116902</v>
      </c>
      <c r="H72" s="37">
        <v>438137</v>
      </c>
      <c r="I72" s="37">
        <v>239818</v>
      </c>
      <c r="J72" s="37">
        <v>98966</v>
      </c>
      <c r="K72" s="37">
        <v>29457</v>
      </c>
      <c r="L72" s="59">
        <v>1387960</v>
      </c>
      <c r="M72" s="37">
        <v>689501</v>
      </c>
      <c r="N72" s="37">
        <v>94379</v>
      </c>
      <c r="O72" s="37">
        <v>3106</v>
      </c>
      <c r="P72" s="37">
        <v>111334</v>
      </c>
      <c r="Q72" s="37">
        <v>1017772</v>
      </c>
      <c r="R72" s="37">
        <v>720453</v>
      </c>
      <c r="S72" s="37">
        <v>391129</v>
      </c>
      <c r="T72" s="37">
        <v>269919</v>
      </c>
      <c r="U72" s="37">
        <v>283678</v>
      </c>
      <c r="V72" s="37">
        <v>1593181</v>
      </c>
      <c r="W72" s="37">
        <v>43810</v>
      </c>
      <c r="X72" s="37">
        <v>222881</v>
      </c>
      <c r="Y72" s="37">
        <v>448996</v>
      </c>
      <c r="Z72" s="37">
        <v>870756</v>
      </c>
      <c r="AA72" s="37">
        <v>451979</v>
      </c>
      <c r="AB72" s="37">
        <v>526862</v>
      </c>
      <c r="AC72" s="37">
        <v>261993</v>
      </c>
      <c r="AD72" s="37">
        <v>80036</v>
      </c>
      <c r="AE72" s="37">
        <v>166286</v>
      </c>
      <c r="AF72" s="37">
        <v>293849</v>
      </c>
      <c r="AG72" s="37">
        <v>52071</v>
      </c>
      <c r="AH72" s="37">
        <v>706589</v>
      </c>
      <c r="AI72" s="37">
        <v>239305</v>
      </c>
      <c r="AJ72" s="37">
        <v>1237311</v>
      </c>
      <c r="AK72" s="37">
        <v>502567</v>
      </c>
      <c r="AL72" s="37">
        <v>109440</v>
      </c>
      <c r="AM72" s="37">
        <v>948324</v>
      </c>
      <c r="AN72" s="37">
        <v>664233</v>
      </c>
      <c r="AO72" s="37">
        <v>247206</v>
      </c>
      <c r="AP72" s="37">
        <v>1350245</v>
      </c>
      <c r="AQ72" s="37">
        <v>92061</v>
      </c>
      <c r="AR72" s="37">
        <v>278768</v>
      </c>
      <c r="AS72" s="37">
        <v>80890</v>
      </c>
      <c r="AT72" s="37">
        <v>321644</v>
      </c>
      <c r="AU72" s="37">
        <v>3867275</v>
      </c>
      <c r="AV72" s="37">
        <v>221834</v>
      </c>
      <c r="AW72" s="37">
        <v>11926</v>
      </c>
      <c r="AX72" s="37">
        <v>566676</v>
      </c>
      <c r="AY72" s="37">
        <v>324882</v>
      </c>
      <c r="AZ72" s="37">
        <v>184025</v>
      </c>
      <c r="BA72" s="37">
        <v>487732</v>
      </c>
      <c r="BB72" s="37">
        <v>149405</v>
      </c>
    </row>
    <row r="73" spans="1:54" x14ac:dyDescent="0.25">
      <c r="A73" s="58">
        <v>43281</v>
      </c>
      <c r="B73" s="59">
        <v>30138930</v>
      </c>
      <c r="C73" s="37">
        <v>750188</v>
      </c>
      <c r="D73" s="37">
        <v>355132</v>
      </c>
      <c r="E73" s="37">
        <v>384753</v>
      </c>
      <c r="F73" s="37">
        <v>360804</v>
      </c>
      <c r="G73" s="37">
        <v>2137920</v>
      </c>
      <c r="H73" s="37">
        <v>485735</v>
      </c>
      <c r="I73" s="37">
        <v>277931</v>
      </c>
      <c r="J73" s="37">
        <v>95516</v>
      </c>
      <c r="K73" s="37">
        <v>31490</v>
      </c>
      <c r="L73" s="59">
        <v>1477160</v>
      </c>
      <c r="M73" s="37">
        <v>738986</v>
      </c>
      <c r="N73" s="37">
        <v>94178</v>
      </c>
      <c r="O73" s="37">
        <v>3282</v>
      </c>
      <c r="P73" s="37">
        <v>111700</v>
      </c>
      <c r="Q73" s="37">
        <v>1108592</v>
      </c>
      <c r="R73" s="37">
        <v>854024</v>
      </c>
      <c r="S73" s="37">
        <v>443174</v>
      </c>
      <c r="T73" s="37">
        <v>310028</v>
      </c>
      <c r="U73" s="37">
        <v>340125</v>
      </c>
      <c r="V73" s="37">
        <v>1738734</v>
      </c>
      <c r="W73" s="37">
        <v>46464</v>
      </c>
      <c r="X73" s="37">
        <v>300637</v>
      </c>
      <c r="Y73" s="37">
        <v>438577</v>
      </c>
      <c r="Z73" s="37">
        <v>965538</v>
      </c>
      <c r="AA73" s="37">
        <v>490169</v>
      </c>
      <c r="AB73" s="37">
        <v>576888</v>
      </c>
      <c r="AC73" s="37">
        <v>322805</v>
      </c>
      <c r="AD73" s="37">
        <v>87034</v>
      </c>
      <c r="AE73" s="37">
        <v>185949</v>
      </c>
      <c r="AF73" s="37">
        <v>299783</v>
      </c>
      <c r="AG73" s="37">
        <v>49888</v>
      </c>
      <c r="AH73" s="37">
        <v>770284</v>
      </c>
      <c r="AI73" s="37">
        <v>271547</v>
      </c>
      <c r="AJ73" s="37">
        <v>1350443</v>
      </c>
      <c r="AK73" s="37">
        <v>582418</v>
      </c>
      <c r="AL73" s="37">
        <v>126325</v>
      </c>
      <c r="AM73" s="37">
        <v>1162745</v>
      </c>
      <c r="AN73" s="37">
        <v>807023</v>
      </c>
      <c r="AO73" s="37">
        <v>255713</v>
      </c>
      <c r="AP73" s="37">
        <v>1460456</v>
      </c>
      <c r="AQ73" s="37">
        <v>101796</v>
      </c>
      <c r="AR73" s="37">
        <v>330362</v>
      </c>
      <c r="AS73" s="37">
        <v>89464</v>
      </c>
      <c r="AT73" s="37">
        <v>392161</v>
      </c>
      <c r="AU73" s="37">
        <v>4464219</v>
      </c>
      <c r="AV73" s="37">
        <v>244058</v>
      </c>
      <c r="AW73" s="37">
        <v>13742</v>
      </c>
      <c r="AX73" s="37">
        <v>634162</v>
      </c>
      <c r="AY73" s="37">
        <v>307985</v>
      </c>
      <c r="AZ73" s="37">
        <v>202934</v>
      </c>
      <c r="BA73" s="37">
        <v>543025</v>
      </c>
      <c r="BB73" s="37">
        <v>165384</v>
      </c>
    </row>
    <row r="74" spans="1:54" x14ac:dyDescent="0.25">
      <c r="A74" s="58">
        <v>43646</v>
      </c>
      <c r="B74" s="59">
        <v>31132041</v>
      </c>
      <c r="C74" s="37">
        <v>728337</v>
      </c>
      <c r="D74" s="37">
        <v>348968</v>
      </c>
      <c r="E74" s="37">
        <v>469232</v>
      </c>
      <c r="F74" s="37">
        <v>364821</v>
      </c>
      <c r="G74" s="37">
        <v>2145776</v>
      </c>
      <c r="H74" s="37">
        <v>513974</v>
      </c>
      <c r="I74" s="37">
        <v>284610</v>
      </c>
      <c r="J74" s="37">
        <v>89767</v>
      </c>
      <c r="K74" s="37">
        <v>30534</v>
      </c>
      <c r="L74" s="59">
        <v>1542785</v>
      </c>
      <c r="M74" s="37">
        <v>767401</v>
      </c>
      <c r="N74" s="37">
        <v>94125</v>
      </c>
      <c r="O74" s="37">
        <v>3277</v>
      </c>
      <c r="P74" s="37">
        <v>129376</v>
      </c>
      <c r="Q74" s="37">
        <v>1153918</v>
      </c>
      <c r="R74" s="37">
        <v>891053</v>
      </c>
      <c r="S74" s="37">
        <v>438038</v>
      </c>
      <c r="T74" s="37">
        <v>307349</v>
      </c>
      <c r="U74" s="37">
        <v>344326</v>
      </c>
      <c r="V74" s="37">
        <v>1834142</v>
      </c>
      <c r="W74" s="37">
        <v>44606</v>
      </c>
      <c r="X74" s="37">
        <v>298599</v>
      </c>
      <c r="Y74" s="37">
        <v>429515</v>
      </c>
      <c r="Z74" s="37">
        <v>998093</v>
      </c>
      <c r="AA74" s="37">
        <v>520463</v>
      </c>
      <c r="AB74" s="37">
        <v>567348</v>
      </c>
      <c r="AC74" s="37">
        <v>320115</v>
      </c>
      <c r="AD74" s="37">
        <v>88321</v>
      </c>
      <c r="AE74" s="37">
        <v>185928</v>
      </c>
      <c r="AF74" s="37">
        <v>302555</v>
      </c>
      <c r="AG74" s="37">
        <v>53650</v>
      </c>
      <c r="AH74" s="37">
        <v>761005</v>
      </c>
      <c r="AI74" s="37">
        <v>296352</v>
      </c>
      <c r="AJ74" s="37">
        <v>1296268</v>
      </c>
      <c r="AK74" s="37">
        <v>552284</v>
      </c>
      <c r="AL74" s="37">
        <v>148302</v>
      </c>
      <c r="AM74" s="37">
        <v>1183927</v>
      </c>
      <c r="AN74" s="37">
        <v>834520</v>
      </c>
      <c r="AO74" s="37">
        <v>287017</v>
      </c>
      <c r="AP74" s="37">
        <v>1618008</v>
      </c>
      <c r="AQ74" s="37">
        <v>95170</v>
      </c>
      <c r="AR74" s="37">
        <v>338758</v>
      </c>
      <c r="AS74" s="37">
        <v>89879</v>
      </c>
      <c r="AT74" s="37">
        <v>408045</v>
      </c>
      <c r="AU74" s="37">
        <v>4671722</v>
      </c>
      <c r="AV74" s="37">
        <v>264301</v>
      </c>
      <c r="AW74" s="37">
        <v>13885</v>
      </c>
      <c r="AX74" s="37">
        <v>683049</v>
      </c>
      <c r="AY74" s="37">
        <v>348265</v>
      </c>
      <c r="AZ74" s="37">
        <v>221268</v>
      </c>
      <c r="BA74" s="37">
        <v>568646</v>
      </c>
      <c r="BB74" s="37">
        <v>160366</v>
      </c>
    </row>
    <row r="75" spans="1:54" x14ac:dyDescent="0.25">
      <c r="A75" s="58">
        <v>44012</v>
      </c>
      <c r="B75" s="59">
        <v>30472212</v>
      </c>
      <c r="C75" s="37">
        <v>691983</v>
      </c>
      <c r="D75" s="37">
        <v>380435</v>
      </c>
      <c r="E75" s="37">
        <v>500328</v>
      </c>
      <c r="F75" s="37">
        <v>328050</v>
      </c>
      <c r="G75" s="37">
        <v>2074302</v>
      </c>
      <c r="H75" s="37">
        <v>523221</v>
      </c>
      <c r="I75" s="37">
        <v>287722</v>
      </c>
      <c r="J75" s="37">
        <v>89028</v>
      </c>
      <c r="K75" s="37">
        <v>27090</v>
      </c>
      <c r="L75" s="59">
        <v>1578415</v>
      </c>
      <c r="M75" s="37">
        <v>759276</v>
      </c>
      <c r="N75" s="37">
        <v>76198</v>
      </c>
      <c r="O75" s="37">
        <v>2413</v>
      </c>
      <c r="P75" s="37">
        <v>126737</v>
      </c>
      <c r="Q75" s="37">
        <v>1090592</v>
      </c>
      <c r="R75" s="37">
        <v>827866</v>
      </c>
      <c r="S75" s="37">
        <v>404250</v>
      </c>
      <c r="T75" s="37">
        <v>294016</v>
      </c>
      <c r="U75" s="37">
        <v>331942</v>
      </c>
      <c r="V75" s="37">
        <v>1824625</v>
      </c>
      <c r="W75" s="37">
        <v>45780</v>
      </c>
      <c r="X75" s="37">
        <v>284490</v>
      </c>
      <c r="Y75" s="37">
        <v>388032</v>
      </c>
      <c r="Z75" s="37">
        <v>928905</v>
      </c>
      <c r="AA75" s="37">
        <v>464850</v>
      </c>
      <c r="AB75" s="37">
        <v>587569</v>
      </c>
      <c r="AC75" s="37">
        <v>300524</v>
      </c>
      <c r="AD75" s="37">
        <v>82590</v>
      </c>
      <c r="AE75" s="37">
        <v>183875</v>
      </c>
      <c r="AF75" s="37">
        <v>298828</v>
      </c>
      <c r="AG75" s="37">
        <v>51966</v>
      </c>
      <c r="AH75" s="37">
        <v>656268</v>
      </c>
      <c r="AI75" s="37">
        <v>288487</v>
      </c>
      <c r="AJ75" s="37">
        <v>1262445</v>
      </c>
      <c r="AK75" s="37">
        <v>543385</v>
      </c>
      <c r="AL75" s="37">
        <v>146781</v>
      </c>
      <c r="AM75" s="37">
        <v>1156719</v>
      </c>
      <c r="AN75" s="37">
        <v>814200</v>
      </c>
      <c r="AO75" s="37">
        <v>267388</v>
      </c>
      <c r="AP75" s="37">
        <v>1714410</v>
      </c>
      <c r="AQ75" s="37">
        <v>95904</v>
      </c>
      <c r="AR75" s="37">
        <v>335075</v>
      </c>
      <c r="AS75" s="37">
        <v>86117</v>
      </c>
      <c r="AT75" s="37">
        <v>390701</v>
      </c>
      <c r="AU75" s="37">
        <v>4630179</v>
      </c>
      <c r="AV75" s="37">
        <v>255347</v>
      </c>
      <c r="AW75" s="37">
        <v>13056</v>
      </c>
      <c r="AX75" s="37">
        <v>708123</v>
      </c>
      <c r="AY75" s="37">
        <v>328688</v>
      </c>
      <c r="AZ75" s="37">
        <v>243769</v>
      </c>
      <c r="BA75" s="37">
        <v>541802</v>
      </c>
      <c r="BB75" s="37">
        <v>157468</v>
      </c>
    </row>
    <row r="76" spans="1:54" x14ac:dyDescent="0.25">
      <c r="A76" s="57">
        <v>44377</v>
      </c>
      <c r="B76" s="37">
        <v>30283883</v>
      </c>
    </row>
    <row r="77" spans="1:54" x14ac:dyDescent="0.25">
      <c r="A77" s="57"/>
    </row>
  </sheetData>
  <hyperlinks>
    <hyperlink ref="A1" location="Contents!A1" display="Back to Contents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pane xSplit="1" ySplit="7" topLeftCell="B8" activePane="bottomRight" state="frozen"/>
      <selection activeCell="E8" sqref="E8"/>
      <selection pane="topRight" activeCell="E8" sqref="E8"/>
      <selection pane="bottomLeft" activeCell="E8" sqref="E8"/>
      <selection pane="bottomRight" activeCell="L14" sqref="K14:L14"/>
    </sheetView>
  </sheetViews>
  <sheetFormatPr defaultColWidth="9.109375" defaultRowHeight="14.4" x14ac:dyDescent="0.3"/>
  <cols>
    <col min="1" max="1" width="23.33203125" customWidth="1"/>
    <col min="2" max="3" width="13.44140625" customWidth="1"/>
    <col min="4" max="4" width="13.44140625" style="64" customWidth="1"/>
    <col min="5" max="7" width="13.44140625" customWidth="1"/>
    <col min="8" max="8" width="5.88671875" style="65" customWidth="1"/>
    <col min="9" max="14" width="13.44140625" customWidth="1"/>
  </cols>
  <sheetData>
    <row r="1" spans="1:16" ht="16.2" x14ac:dyDescent="0.4">
      <c r="G1" s="7" t="s">
        <v>6</v>
      </c>
    </row>
    <row r="2" spans="1:16" ht="16.2" x14ac:dyDescent="0.4">
      <c r="A2" s="1"/>
      <c r="B2" s="66"/>
      <c r="D2" s="67"/>
      <c r="G2" s="7" t="s">
        <v>177</v>
      </c>
    </row>
    <row r="3" spans="1:16" ht="16.2" x14ac:dyDescent="0.4">
      <c r="A3" s="1"/>
      <c r="B3" s="66"/>
      <c r="D3" s="67"/>
      <c r="F3" s="7"/>
      <c r="G3" s="7" t="str">
        <f>+'[64]Reg-Cust'!F3</f>
        <v>For the Twelve Months ended December 31, 2011 and 2010</v>
      </c>
    </row>
    <row r="4" spans="1:16" ht="16.2" x14ac:dyDescent="0.4">
      <c r="A4" s="1"/>
      <c r="B4" s="66"/>
      <c r="D4" s="67"/>
      <c r="F4" s="7"/>
      <c r="G4" s="7"/>
    </row>
    <row r="5" spans="1:16" ht="16.2" x14ac:dyDescent="0.4">
      <c r="A5" s="1"/>
      <c r="B5" s="66"/>
      <c r="D5" s="67"/>
      <c r="F5" s="7"/>
      <c r="G5" s="7"/>
    </row>
    <row r="6" spans="1:16" s="12" customFormat="1" ht="13.2" x14ac:dyDescent="0.25">
      <c r="B6" s="68"/>
      <c r="C6" s="15" t="s">
        <v>182</v>
      </c>
      <c r="D6" s="16"/>
      <c r="E6" s="17"/>
      <c r="F6" s="17"/>
      <c r="G6" s="17"/>
      <c r="H6" s="13"/>
      <c r="I6" s="69"/>
      <c r="J6" s="15" t="s">
        <v>185</v>
      </c>
      <c r="K6" s="69"/>
      <c r="L6" s="69"/>
      <c r="M6" s="69"/>
      <c r="N6" s="17"/>
    </row>
    <row r="7" spans="1:16" ht="40.200000000000003" x14ac:dyDescent="0.3">
      <c r="A7" s="70" t="s">
        <v>178</v>
      </c>
      <c r="B7" s="19" t="s">
        <v>11</v>
      </c>
      <c r="C7" s="19" t="s">
        <v>12</v>
      </c>
      <c r="D7" s="20" t="s">
        <v>13</v>
      </c>
      <c r="E7" s="19" t="s">
        <v>14</v>
      </c>
      <c r="F7" s="19" t="s">
        <v>15</v>
      </c>
      <c r="G7" s="19" t="s">
        <v>16</v>
      </c>
      <c r="H7" s="71"/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2"/>
      <c r="P7" s="12"/>
    </row>
    <row r="8" spans="1:16" x14ac:dyDescent="0.3">
      <c r="A8" s="12" t="s">
        <v>17</v>
      </c>
      <c r="B8" s="22">
        <f>+[64]Delaware!O13</f>
        <v>230845</v>
      </c>
      <c r="C8" s="24">
        <f>+[64]Maryland!O13</f>
        <v>52065</v>
      </c>
      <c r="D8" s="24">
        <f>+[64]CFG!O14</f>
        <v>27114.616807868344</v>
      </c>
      <c r="E8" s="23">
        <f>+'[64]FPU-NG'!O14</f>
        <v>118816.94255111978</v>
      </c>
      <c r="F8" s="23">
        <f>+[64]Electric!O15</f>
        <v>22277</v>
      </c>
      <c r="G8" s="23">
        <f>+[64]ESNG!L18</f>
        <v>0</v>
      </c>
      <c r="H8" s="23"/>
      <c r="I8" s="22">
        <f>+[64]Delaware!AH13</f>
        <v>360231</v>
      </c>
      <c r="J8" s="22">
        <f>+[64]Maryland!AH13</f>
        <v>78739</v>
      </c>
      <c r="K8" s="22">
        <f>+[64]CFG!AH14</f>
        <v>50693.470572651808</v>
      </c>
      <c r="L8" s="22">
        <f>+'[64]FPU-NG'!AH14</f>
        <v>156387</v>
      </c>
      <c r="M8" s="22">
        <f>+[64]Electric!AH15</f>
        <v>27315</v>
      </c>
      <c r="N8" s="22">
        <v>0</v>
      </c>
    </row>
    <row r="9" spans="1:16" x14ac:dyDescent="0.3">
      <c r="A9" s="12" t="s">
        <v>18</v>
      </c>
      <c r="B9" s="22">
        <f>+[64]Delaware!O14</f>
        <v>230031</v>
      </c>
      <c r="C9" s="24">
        <f>+[64]Maryland!O14</f>
        <v>75641</v>
      </c>
      <c r="D9" s="24">
        <f>+[64]CFG!O15</f>
        <v>115423.02074203915</v>
      </c>
      <c r="E9" s="23">
        <f>+'[64]FPU-NG'!O15</f>
        <v>290295.03407984425</v>
      </c>
      <c r="F9" s="23">
        <f>+[64]Electric!O16</f>
        <v>29163</v>
      </c>
      <c r="G9" s="23">
        <f>+[64]ESNG!L19</f>
        <v>0</v>
      </c>
      <c r="H9" s="23"/>
      <c r="I9" s="22">
        <f>+[64]Delaware!AH14</f>
        <v>367936</v>
      </c>
      <c r="J9" s="22">
        <f>+[64]Maryland!AH14</f>
        <v>117952</v>
      </c>
      <c r="K9" s="22">
        <f>+[64]CFG!AH15</f>
        <v>142299.70788704968</v>
      </c>
      <c r="L9" s="22">
        <f>+'[64]FPU-NG'!AH15</f>
        <v>310393</v>
      </c>
      <c r="M9" s="22">
        <f>+[64]Electric!AH16</f>
        <v>25534</v>
      </c>
      <c r="N9" s="22">
        <v>0</v>
      </c>
    </row>
    <row r="10" spans="1:16" x14ac:dyDescent="0.3">
      <c r="A10" s="12" t="s">
        <v>19</v>
      </c>
      <c r="B10" s="22">
        <f>+[64]Delaware!O15</f>
        <v>183165</v>
      </c>
      <c r="C10" s="24">
        <f>+[64]Maryland!O15</f>
        <v>114541</v>
      </c>
      <c r="D10" s="24">
        <f>+[64]CFG!O16</f>
        <v>1386176.1874573962</v>
      </c>
      <c r="E10" s="23">
        <f>+'[64]FPU-NG'!O16</f>
        <v>393107.10808179167</v>
      </c>
      <c r="F10" s="23">
        <f>+[64]Electric!O17</f>
        <v>4020</v>
      </c>
      <c r="G10" s="23">
        <f>+[64]ESNG!L20</f>
        <v>0</v>
      </c>
      <c r="H10" s="23"/>
      <c r="I10" s="22">
        <f>+[64]Delaware!AH15</f>
        <v>190133</v>
      </c>
      <c r="J10" s="22">
        <f>+[64]Maryland!AH15</f>
        <v>113141</v>
      </c>
      <c r="K10" s="22">
        <f>+[64]CFG!AH16</f>
        <v>1756824</v>
      </c>
      <c r="L10" s="22">
        <f>+'[64]FPU-NG'!AH16</f>
        <v>242423.94060370012</v>
      </c>
      <c r="M10" s="22">
        <f>+[64]Electric!AH17</f>
        <v>5340</v>
      </c>
      <c r="N10" s="22">
        <v>0</v>
      </c>
    </row>
    <row r="11" spans="1:16" x14ac:dyDescent="0.3">
      <c r="A11" s="12" t="s">
        <v>179</v>
      </c>
      <c r="B11" s="22">
        <v>0</v>
      </c>
      <c r="C11" s="24">
        <v>0</v>
      </c>
      <c r="D11" s="24">
        <v>0</v>
      </c>
      <c r="E11" s="23">
        <v>0</v>
      </c>
      <c r="F11" s="23">
        <v>0</v>
      </c>
      <c r="G11" s="23">
        <f>+[64]ESNG!O21</f>
        <v>2947183</v>
      </c>
      <c r="H11" s="23"/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>+[64]ESNG!AH21</f>
        <v>2859379</v>
      </c>
    </row>
    <row r="12" spans="1:16" x14ac:dyDescent="0.3">
      <c r="A12" s="12" t="s">
        <v>21</v>
      </c>
      <c r="B12" s="22">
        <f>+[64]Delaware!O16</f>
        <v>7792</v>
      </c>
      <c r="C12" s="24">
        <v>0</v>
      </c>
      <c r="D12" s="24">
        <v>0</v>
      </c>
      <c r="E12" s="23">
        <f>+'[64]FPU-NG'!O18</f>
        <v>21987.3417721519</v>
      </c>
      <c r="F12" s="23">
        <f>+[64]Electric!O20</f>
        <v>-5110</v>
      </c>
      <c r="G12" s="23">
        <f>+[64]ESNG!O22</f>
        <v>257630</v>
      </c>
      <c r="H12" s="23"/>
      <c r="I12" s="22">
        <f>+[64]Delaware!AH16</f>
        <v>6741</v>
      </c>
      <c r="J12" s="22">
        <v>0</v>
      </c>
      <c r="K12" s="22">
        <v>0</v>
      </c>
      <c r="L12" s="22">
        <f>+'[64]FPU-NG'!AH18</f>
        <v>140843</v>
      </c>
      <c r="M12" s="22">
        <f>+[64]Electric!AH20</f>
        <v>11845</v>
      </c>
      <c r="N12" s="22">
        <f>+[64]ESNG!AH22</f>
        <v>3567</v>
      </c>
    </row>
    <row r="13" spans="1:16" x14ac:dyDescent="0.3">
      <c r="A13" s="10" t="s">
        <v>22</v>
      </c>
      <c r="B13" s="22">
        <f>+[64]Delaware!M18</f>
        <v>0</v>
      </c>
      <c r="C13" s="24">
        <v>0</v>
      </c>
      <c r="D13" s="24">
        <v>0</v>
      </c>
      <c r="E13" s="23">
        <v>0</v>
      </c>
      <c r="F13" s="23"/>
      <c r="G13" s="23">
        <f>+[64]ESNG!O24</f>
        <v>-488044</v>
      </c>
      <c r="H13" s="23"/>
      <c r="I13" s="22">
        <f>+[64]Delaware!AE18</f>
        <v>0</v>
      </c>
      <c r="J13" s="22">
        <v>0</v>
      </c>
      <c r="K13" s="22">
        <v>0</v>
      </c>
      <c r="L13" s="22">
        <v>0</v>
      </c>
      <c r="M13" s="22">
        <v>0</v>
      </c>
      <c r="N13" s="22">
        <f>+[64]ESNG!AH24</f>
        <v>-1116812</v>
      </c>
    </row>
    <row r="14" spans="1:16" ht="15" thickBot="1" x14ac:dyDescent="0.35">
      <c r="A14" s="72" t="s">
        <v>180</v>
      </c>
      <c r="B14" s="27">
        <f>SUM(B8:B13)</f>
        <v>651833</v>
      </c>
      <c r="C14" s="27">
        <f t="shared" ref="C14:G14" si="0">SUM(C8:C13)</f>
        <v>242247</v>
      </c>
      <c r="D14" s="27">
        <f t="shared" si="0"/>
        <v>1528713.8250073036</v>
      </c>
      <c r="E14" s="27">
        <f t="shared" si="0"/>
        <v>824206.42648490751</v>
      </c>
      <c r="F14" s="27">
        <f t="shared" si="0"/>
        <v>50350</v>
      </c>
      <c r="G14" s="27">
        <f t="shared" si="0"/>
        <v>2716769</v>
      </c>
      <c r="H14" s="23"/>
      <c r="I14" s="27">
        <f t="shared" ref="I14:N14" si="1">SUM(I8:I13)</f>
        <v>925041</v>
      </c>
      <c r="J14" s="27">
        <f t="shared" si="1"/>
        <v>309832</v>
      </c>
      <c r="K14" s="27">
        <f t="shared" si="1"/>
        <v>1949817.1784597016</v>
      </c>
      <c r="L14" s="27">
        <f t="shared" si="1"/>
        <v>850046.94060370012</v>
      </c>
      <c r="M14" s="27">
        <f t="shared" si="1"/>
        <v>70034</v>
      </c>
      <c r="N14" s="27">
        <f t="shared" si="1"/>
        <v>1746134</v>
      </c>
    </row>
    <row r="15" spans="1:16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6" x14ac:dyDescent="0.3">
      <c r="A16" s="10"/>
      <c r="B16" s="23"/>
      <c r="C16" s="7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6" x14ac:dyDescent="0.3">
      <c r="A17" s="10"/>
      <c r="B17" s="28"/>
      <c r="C17" s="15" t="s">
        <v>184</v>
      </c>
      <c r="D17" s="20"/>
      <c r="E17" s="19"/>
      <c r="F17" s="19"/>
      <c r="G17" s="19"/>
      <c r="H17" s="75"/>
      <c r="I17" s="19"/>
      <c r="J17" s="15" t="s">
        <v>186</v>
      </c>
      <c r="K17" s="19"/>
      <c r="L17" s="19"/>
      <c r="M17" s="19"/>
      <c r="N17" s="19"/>
    </row>
    <row r="18" spans="1:16" ht="40.200000000000003" x14ac:dyDescent="0.3">
      <c r="A18" s="70" t="s">
        <v>178</v>
      </c>
      <c r="B18" s="19" t="s">
        <v>11</v>
      </c>
      <c r="C18" s="19" t="s">
        <v>12</v>
      </c>
      <c r="D18" s="20" t="s">
        <v>13</v>
      </c>
      <c r="E18" s="19" t="s">
        <v>14</v>
      </c>
      <c r="F18" s="19" t="s">
        <v>15</v>
      </c>
      <c r="G18" s="19" t="s">
        <v>16</v>
      </c>
      <c r="H18" s="71"/>
      <c r="I18" s="19" t="s">
        <v>11</v>
      </c>
      <c r="J18" s="19" t="s">
        <v>12</v>
      </c>
      <c r="K18" s="19" t="s">
        <v>13</v>
      </c>
      <c r="L18" s="19" t="s">
        <v>14</v>
      </c>
      <c r="M18" s="19" t="s">
        <v>15</v>
      </c>
      <c r="N18" s="19" t="s">
        <v>16</v>
      </c>
      <c r="O18" s="12"/>
      <c r="P18" s="12"/>
    </row>
    <row r="19" spans="1:16" x14ac:dyDescent="0.3">
      <c r="A19" s="12" t="s">
        <v>17</v>
      </c>
      <c r="B19" s="23">
        <f>+[64]Delaware!C13</f>
        <v>2306224</v>
      </c>
      <c r="C19" s="24">
        <f>+[64]Maryland!C13</f>
        <v>521674</v>
      </c>
      <c r="D19" s="24">
        <f>ROUND([64]CFG!C14,0)</f>
        <v>305376</v>
      </c>
      <c r="E19" s="23">
        <f>+'[64]FPU-NG'!C14</f>
        <v>1158383.3904576439</v>
      </c>
      <c r="F19" s="23">
        <f>+[64]Electric!C15</f>
        <v>318065</v>
      </c>
      <c r="G19" s="23">
        <v>0</v>
      </c>
      <c r="H19" s="23"/>
      <c r="I19" s="23">
        <f>+[64]Delaware!V13</f>
        <v>2330425</v>
      </c>
      <c r="J19" s="23">
        <f>+[64]Maryland!V13</f>
        <v>550648</v>
      </c>
      <c r="K19" s="23">
        <f>+[64]CFG!V14</f>
        <v>389208.55723282712</v>
      </c>
      <c r="L19" s="23">
        <f>+'[64]FPU-NG'!V14</f>
        <v>1329597</v>
      </c>
      <c r="M19" s="23">
        <f>+[64]Electric!V15</f>
        <v>347040</v>
      </c>
      <c r="N19" s="23">
        <v>0</v>
      </c>
    </row>
    <row r="20" spans="1:16" x14ac:dyDescent="0.3">
      <c r="A20" s="12" t="s">
        <v>18</v>
      </c>
      <c r="B20" s="23">
        <f>+[64]Delaware!C14</f>
        <v>2231042</v>
      </c>
      <c r="C20" s="24">
        <f>+[64]Maryland!C14</f>
        <v>767908</v>
      </c>
      <c r="D20" s="24">
        <f>+[64]CFG!C15</f>
        <v>1200991.4808647386</v>
      </c>
      <c r="E20" s="23">
        <f>+'[64]FPU-NG'!C15</f>
        <v>2927285.622200584</v>
      </c>
      <c r="F20" s="23">
        <f>+[64]Electric!C16</f>
        <v>326704</v>
      </c>
      <c r="G20" s="23">
        <v>0</v>
      </c>
      <c r="H20" s="23"/>
      <c r="I20" s="23">
        <f>+[64]Delaware!V14</f>
        <v>2139824</v>
      </c>
      <c r="J20" s="23">
        <f>+[64]Maryland!V14</f>
        <v>801406</v>
      </c>
      <c r="K20" s="23">
        <f>+[64]CFG!V15</f>
        <v>1312876.9970788707</v>
      </c>
      <c r="L20" s="23">
        <f>+'[64]FPU-NG'!V15</f>
        <v>3140540</v>
      </c>
      <c r="M20" s="23">
        <f>+[64]Electric!V16</f>
        <v>332329</v>
      </c>
      <c r="N20" s="23">
        <v>0</v>
      </c>
    </row>
    <row r="21" spans="1:16" x14ac:dyDescent="0.3">
      <c r="A21" s="12" t="s">
        <v>19</v>
      </c>
      <c r="B21" s="23">
        <f>+[64]Delaware!C15</f>
        <v>1864829</v>
      </c>
      <c r="C21" s="24">
        <f>+[64]Maryland!C15</f>
        <v>1187176</v>
      </c>
      <c r="D21" s="24">
        <f>+[64]CFG!C16</f>
        <v>13757437.697536275</v>
      </c>
      <c r="E21" s="23">
        <f>+'[64]FPU-NG'!C16</f>
        <v>2868383.8617332038</v>
      </c>
      <c r="F21" s="23">
        <f>+[64]Electric!C17</f>
        <v>52440</v>
      </c>
      <c r="G21" s="23">
        <v>0</v>
      </c>
      <c r="H21" s="23"/>
      <c r="I21" s="23">
        <f>+[64]Delaware!V15</f>
        <v>1205378</v>
      </c>
      <c r="J21" s="23">
        <f>+[64]Maryland!V15</f>
        <v>1019442</v>
      </c>
      <c r="K21" s="23">
        <f>+[64]CFG!V16</f>
        <v>13628016</v>
      </c>
      <c r="L21" s="23">
        <f>+'[64]FPU-NG'!V16</f>
        <v>2132086.0126582277</v>
      </c>
      <c r="M21" s="23">
        <f>+[64]Electric!V17</f>
        <v>66580</v>
      </c>
      <c r="N21" s="23">
        <v>0</v>
      </c>
    </row>
    <row r="22" spans="1:16" x14ac:dyDescent="0.3">
      <c r="A22" s="12" t="s">
        <v>179</v>
      </c>
      <c r="B22" s="23">
        <v>0</v>
      </c>
      <c r="C22" s="24">
        <v>0</v>
      </c>
      <c r="D22" s="24">
        <v>0</v>
      </c>
      <c r="E22" s="23">
        <v>0</v>
      </c>
      <c r="F22" s="23">
        <f>+[64]Electric!C18</f>
        <v>0</v>
      </c>
      <c r="G22" s="23">
        <f>+[64]ESNG!C21</f>
        <v>23602310</v>
      </c>
      <c r="H22" s="23"/>
      <c r="I22" s="23">
        <v>0</v>
      </c>
      <c r="J22" s="23">
        <v>0</v>
      </c>
      <c r="K22" s="23">
        <v>0</v>
      </c>
      <c r="L22" s="23">
        <v>0</v>
      </c>
      <c r="M22" s="23">
        <f>+[64]Electric!V18</f>
        <v>0</v>
      </c>
      <c r="N22" s="23">
        <f>+[64]ESNG!V21</f>
        <v>17167619</v>
      </c>
    </row>
    <row r="23" spans="1:16" x14ac:dyDescent="0.3">
      <c r="A23" s="12" t="s">
        <v>21</v>
      </c>
      <c r="B23" s="23">
        <f>+[64]Delaware!C16</f>
        <v>101644</v>
      </c>
      <c r="C23" s="24">
        <v>0</v>
      </c>
      <c r="D23" s="24">
        <v>0</v>
      </c>
      <c r="E23" s="23">
        <f>+'[64]FPU-NG'!C18</f>
        <v>-165855.14703018498</v>
      </c>
      <c r="F23" s="23">
        <f>+[64]Electric!C20</f>
        <v>-2556</v>
      </c>
      <c r="G23" s="23">
        <f>+[64]ESNG!C22</f>
        <v>1225562</v>
      </c>
      <c r="H23" s="23"/>
      <c r="I23" s="23">
        <f>+[64]Delaware!V16</f>
        <v>230053</v>
      </c>
      <c r="J23" s="23">
        <f>+[64]Maryland!V16</f>
        <v>2600</v>
      </c>
      <c r="K23" s="23">
        <v>0</v>
      </c>
      <c r="L23" s="23">
        <f>+'[64]FPU-NG'!V18</f>
        <v>12724</v>
      </c>
      <c r="M23" s="23">
        <f>+[64]Electric!V20</f>
        <v>5558</v>
      </c>
      <c r="N23" s="23">
        <f>+[64]ESNG!V22</f>
        <v>437821</v>
      </c>
    </row>
    <row r="24" spans="1:16" x14ac:dyDescent="0.3">
      <c r="A24" s="10" t="s">
        <v>22</v>
      </c>
      <c r="B24" s="23">
        <v>0</v>
      </c>
      <c r="C24" s="24">
        <v>0</v>
      </c>
      <c r="D24" s="24">
        <v>0</v>
      </c>
      <c r="E24" s="23">
        <v>0</v>
      </c>
      <c r="F24" s="23">
        <v>0</v>
      </c>
      <c r="G24" s="23">
        <f>+[64]ESNG!C24</f>
        <v>-4686176</v>
      </c>
      <c r="H24" s="23"/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f>+[64]ESNG!V24</f>
        <v>-5277077</v>
      </c>
    </row>
    <row r="25" spans="1:16" ht="15" thickBot="1" x14ac:dyDescent="0.35">
      <c r="A25" s="72" t="s">
        <v>180</v>
      </c>
      <c r="B25" s="27">
        <f>SUM(B19:B24)</f>
        <v>6503739</v>
      </c>
      <c r="C25" s="27">
        <f t="shared" ref="C25:G25" si="2">SUM(C19:C24)</f>
        <v>2476758</v>
      </c>
      <c r="D25" s="27">
        <f t="shared" si="2"/>
        <v>15263805.178401014</v>
      </c>
      <c r="E25" s="27">
        <f t="shared" si="2"/>
        <v>6788197.7273612469</v>
      </c>
      <c r="F25" s="27">
        <f t="shared" si="2"/>
        <v>694653</v>
      </c>
      <c r="G25" s="27">
        <f t="shared" si="2"/>
        <v>20141696</v>
      </c>
      <c r="H25" s="23"/>
      <c r="I25" s="27">
        <f t="shared" ref="I25:N25" si="3">SUM(I19:I24)</f>
        <v>5905680</v>
      </c>
      <c r="J25" s="27">
        <f t="shared" si="3"/>
        <v>2374096</v>
      </c>
      <c r="K25" s="27">
        <f t="shared" si="3"/>
        <v>15330101.554311698</v>
      </c>
      <c r="L25" s="27">
        <f t="shared" si="3"/>
        <v>6614947.0126582272</v>
      </c>
      <c r="M25" s="27">
        <f t="shared" si="3"/>
        <v>751507</v>
      </c>
      <c r="N25" s="27">
        <f t="shared" si="3"/>
        <v>12328363</v>
      </c>
    </row>
    <row r="26" spans="1:16" x14ac:dyDescent="0.3">
      <c r="A26" s="77"/>
      <c r="B26" s="78"/>
      <c r="C26" s="79"/>
      <c r="D26" s="79"/>
      <c r="E26" s="78"/>
      <c r="F26" s="78"/>
      <c r="G26" s="78"/>
      <c r="H26" s="80"/>
      <c r="I26" s="78"/>
      <c r="J26" s="78"/>
      <c r="K26" s="78"/>
      <c r="L26" s="78"/>
      <c r="M26" s="78"/>
      <c r="N26" s="78"/>
    </row>
    <row r="27" spans="1:16" x14ac:dyDescent="0.3">
      <c r="A27" s="81"/>
      <c r="B27" s="78"/>
      <c r="C27" s="79"/>
      <c r="D27" s="79"/>
      <c r="E27" s="78"/>
      <c r="F27" s="78"/>
      <c r="G27" s="78"/>
      <c r="H27" s="80"/>
      <c r="I27" s="78"/>
      <c r="J27" s="78"/>
      <c r="K27" s="78"/>
      <c r="L27" s="78"/>
      <c r="M27" s="78"/>
      <c r="N27" s="78"/>
    </row>
    <row r="28" spans="1:16" x14ac:dyDescent="0.3">
      <c r="A28" s="81"/>
      <c r="B28" s="78"/>
      <c r="C28" s="79"/>
      <c r="D28" s="79"/>
      <c r="E28" s="78"/>
      <c r="F28" s="78"/>
      <c r="G28" s="78"/>
      <c r="H28" s="80"/>
      <c r="I28" s="78"/>
      <c r="J28" s="78"/>
      <c r="K28" s="78"/>
      <c r="L28" s="78"/>
      <c r="M28" s="78"/>
      <c r="N28" s="78"/>
    </row>
    <row r="29" spans="1:16" x14ac:dyDescent="0.3">
      <c r="B29" s="78"/>
      <c r="C29" s="79"/>
      <c r="D29" s="79"/>
      <c r="E29" s="78"/>
      <c r="F29" s="78"/>
      <c r="G29" s="78"/>
      <c r="H29" s="80"/>
      <c r="I29" s="78"/>
      <c r="J29" s="78"/>
      <c r="K29" s="78"/>
      <c r="L29" s="78"/>
      <c r="M29" s="78"/>
      <c r="N29" s="78"/>
    </row>
    <row r="30" spans="1:16" x14ac:dyDescent="0.3">
      <c r="B30" s="78"/>
      <c r="C30" s="78"/>
      <c r="D30" s="79"/>
      <c r="E30" s="78"/>
      <c r="F30" s="78"/>
      <c r="G30" s="78"/>
      <c r="H30" s="80"/>
      <c r="I30" s="78"/>
      <c r="J30" s="78"/>
      <c r="K30" s="78"/>
      <c r="L30" s="78"/>
      <c r="M30" s="78"/>
      <c r="N30" s="78"/>
    </row>
  </sheetData>
  <pageMargins left="0.7" right="0.7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pane xSplit="1" ySplit="7" topLeftCell="B8" activePane="bottomRight" state="frozen"/>
      <selection activeCell="E8" sqref="E8"/>
      <selection pane="topRight" activeCell="E8" sqref="E8"/>
      <selection pane="bottomLeft" activeCell="E8" sqref="E8"/>
      <selection pane="bottomRight" activeCell="D14" sqref="D14:E14"/>
    </sheetView>
  </sheetViews>
  <sheetFormatPr defaultColWidth="9.109375" defaultRowHeight="14.4" x14ac:dyDescent="0.3"/>
  <cols>
    <col min="1" max="1" width="23.33203125" customWidth="1"/>
    <col min="2" max="3" width="13.44140625" customWidth="1"/>
    <col min="4" max="4" width="13.44140625" style="64" customWidth="1"/>
    <col min="5" max="7" width="13.44140625" customWidth="1"/>
    <col min="8" max="8" width="5.88671875" style="65" customWidth="1"/>
    <col min="9" max="14" width="13.44140625" customWidth="1"/>
  </cols>
  <sheetData>
    <row r="1" spans="1:16" ht="16.2" x14ac:dyDescent="0.4">
      <c r="G1" s="7" t="s">
        <v>6</v>
      </c>
    </row>
    <row r="2" spans="1:16" ht="16.2" x14ac:dyDescent="0.4">
      <c r="A2" s="1"/>
      <c r="B2" s="66"/>
      <c r="D2" s="67"/>
      <c r="G2" s="7" t="s">
        <v>177</v>
      </c>
    </row>
    <row r="3" spans="1:16" ht="16.2" x14ac:dyDescent="0.4">
      <c r="A3" s="1"/>
      <c r="B3" s="66"/>
      <c r="D3" s="67"/>
      <c r="F3" s="7"/>
      <c r="G3" s="7" t="str">
        <f>+'[65]Reg-Cust'!F3</f>
        <v>For the Twelve Months ended December 31, 2012 and 2011</v>
      </c>
    </row>
    <row r="4" spans="1:16" ht="16.2" x14ac:dyDescent="0.4">
      <c r="A4" s="1"/>
      <c r="B4" s="66"/>
      <c r="D4" s="67"/>
      <c r="F4" s="7"/>
      <c r="G4" s="7"/>
    </row>
    <row r="5" spans="1:16" ht="16.2" x14ac:dyDescent="0.4">
      <c r="A5" s="1"/>
      <c r="B5" s="66"/>
      <c r="D5" s="67"/>
      <c r="F5" s="7"/>
      <c r="G5" s="7"/>
    </row>
    <row r="6" spans="1:16" s="12" customFormat="1" ht="13.2" x14ac:dyDescent="0.25">
      <c r="B6" s="68"/>
      <c r="C6" s="15" t="s">
        <v>181</v>
      </c>
      <c r="D6" s="16"/>
      <c r="E6" s="17"/>
      <c r="F6" s="17"/>
      <c r="G6" s="17"/>
      <c r="H6" s="13"/>
      <c r="I6" s="69"/>
      <c r="J6" s="15" t="s">
        <v>182</v>
      </c>
      <c r="K6" s="69"/>
      <c r="L6" s="69"/>
      <c r="M6" s="69"/>
      <c r="N6" s="17"/>
    </row>
    <row r="7" spans="1:16" ht="40.200000000000003" x14ac:dyDescent="0.3">
      <c r="A7" s="70" t="s">
        <v>178</v>
      </c>
      <c r="B7" s="19" t="s">
        <v>11</v>
      </c>
      <c r="C7" s="19" t="s">
        <v>12</v>
      </c>
      <c r="D7" s="20" t="s">
        <v>13</v>
      </c>
      <c r="E7" s="19" t="s">
        <v>14</v>
      </c>
      <c r="F7" s="19" t="s">
        <v>15</v>
      </c>
      <c r="G7" s="19" t="s">
        <v>16</v>
      </c>
      <c r="H7" s="71"/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2"/>
      <c r="P7" s="12"/>
    </row>
    <row r="8" spans="1:16" x14ac:dyDescent="0.3">
      <c r="A8" s="12" t="s">
        <v>17</v>
      </c>
      <c r="B8" s="22">
        <f>+[65]Delaware!O13</f>
        <v>301640</v>
      </c>
      <c r="C8" s="24">
        <f>+[65]Maryland!O13</f>
        <v>66769</v>
      </c>
      <c r="D8" s="24">
        <f>+[65]CFG!O13</f>
        <v>28860</v>
      </c>
      <c r="E8" s="23">
        <f>+'[65]FPU-NG'!O13</f>
        <v>129495</v>
      </c>
      <c r="F8" s="23">
        <f>+[65]Electric!O13</f>
        <v>21341</v>
      </c>
      <c r="G8" s="23">
        <f>+[65]ESNG!E15</f>
        <v>0</v>
      </c>
      <c r="H8" s="23"/>
      <c r="I8" s="22">
        <f>+[65]Delaware!AH13</f>
        <v>230845</v>
      </c>
      <c r="J8" s="22">
        <f>+[65]Maryland!AH13</f>
        <v>52065</v>
      </c>
      <c r="K8" s="22">
        <f>+[65]CFG!AH13</f>
        <v>27114.616807868344</v>
      </c>
      <c r="L8" s="22">
        <f>+'[65]FPU-NG'!AH13</f>
        <v>118816.94255111978</v>
      </c>
      <c r="M8" s="22">
        <f>+[65]Electric!AH13</f>
        <v>22277</v>
      </c>
      <c r="N8" s="22">
        <v>0</v>
      </c>
    </row>
    <row r="9" spans="1:16" x14ac:dyDescent="0.3">
      <c r="A9" s="12" t="s">
        <v>18</v>
      </c>
      <c r="B9" s="22">
        <f>+[65]Delaware!O14</f>
        <v>252745</v>
      </c>
      <c r="C9" s="24">
        <f>+[65]Maryland!O14</f>
        <v>89216</v>
      </c>
      <c r="D9" s="24">
        <f>+[65]CFG!O14</f>
        <v>119379</v>
      </c>
      <c r="E9" s="23">
        <f>+'[65]FPU-NG'!O14</f>
        <v>257996</v>
      </c>
      <c r="F9" s="23">
        <f>+[65]Electric!O14</f>
        <v>22941</v>
      </c>
      <c r="G9" s="23">
        <f>+[65]ESNG!E16</f>
        <v>0</v>
      </c>
      <c r="H9" s="23"/>
      <c r="I9" s="22">
        <f>+[65]Delaware!AH14</f>
        <v>230031</v>
      </c>
      <c r="J9" s="22">
        <f>+[65]Maryland!AH14</f>
        <v>75641</v>
      </c>
      <c r="K9" s="22">
        <f>+[65]CFG!AH14</f>
        <v>115423.02074203915</v>
      </c>
      <c r="L9" s="22">
        <f>+'[65]FPU-NG'!AH14</f>
        <v>290295.03407984425</v>
      </c>
      <c r="M9" s="22">
        <f>+[65]Electric!AH14</f>
        <v>29163</v>
      </c>
      <c r="N9" s="22">
        <v>0</v>
      </c>
    </row>
    <row r="10" spans="1:16" x14ac:dyDescent="0.3">
      <c r="A10" s="12" t="s">
        <v>19</v>
      </c>
      <c r="B10" s="22">
        <f>+[65]Delaware!O15</f>
        <v>244228</v>
      </c>
      <c r="C10" s="24">
        <f>+[65]Maryland!O15</f>
        <v>121462</v>
      </c>
      <c r="D10" s="24">
        <f>+[65]CFG!O15</f>
        <v>1339174</v>
      </c>
      <c r="E10" s="23">
        <f>+'[65]FPU-NG'!O15</f>
        <v>432204</v>
      </c>
      <c r="F10" s="23">
        <f>+[65]Electric!O15</f>
        <v>3000</v>
      </c>
      <c r="G10" s="23"/>
      <c r="H10" s="23"/>
      <c r="I10" s="22">
        <f>+[65]Delaware!AH15</f>
        <v>183165</v>
      </c>
      <c r="J10" s="22">
        <f>+[65]Maryland!AH15</f>
        <v>114541</v>
      </c>
      <c r="K10" s="22">
        <f>+[65]CFG!AH15</f>
        <v>1386176.1874573962</v>
      </c>
      <c r="L10" s="22">
        <f>+'[65]FPU-NG'!AH15</f>
        <v>393107.10808179167</v>
      </c>
      <c r="M10" s="22">
        <f>+[65]Electric!AH15</f>
        <v>4020</v>
      </c>
      <c r="N10" s="22">
        <v>0</v>
      </c>
    </row>
    <row r="11" spans="1:16" x14ac:dyDescent="0.3">
      <c r="A11" s="12" t="s">
        <v>179</v>
      </c>
      <c r="B11" s="22">
        <v>0</v>
      </c>
      <c r="C11" s="24">
        <v>0</v>
      </c>
      <c r="D11" s="24">
        <v>0</v>
      </c>
      <c r="E11" s="23">
        <v>0</v>
      </c>
      <c r="F11" s="23">
        <v>0</v>
      </c>
      <c r="G11" s="23">
        <f>+[65]ESNG!O17</f>
        <v>2498314</v>
      </c>
      <c r="H11" s="23"/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f>+[65]ESNG!AH17</f>
        <v>2947183</v>
      </c>
    </row>
    <row r="12" spans="1:16" x14ac:dyDescent="0.3">
      <c r="A12" s="12" t="s">
        <v>21</v>
      </c>
      <c r="B12" s="22">
        <f>+[65]Delaware!O16</f>
        <v>9327</v>
      </c>
      <c r="C12" s="24">
        <f>+[65]Maryland!M16</f>
        <v>0</v>
      </c>
      <c r="D12" s="24">
        <v>0</v>
      </c>
      <c r="E12" s="23">
        <f>+'[65]FPU-NG'!O16</f>
        <v>56553</v>
      </c>
      <c r="F12" s="23">
        <f>+[65]Electric!O16</f>
        <v>3574</v>
      </c>
      <c r="G12" s="23">
        <f>+[65]ESNG!O18</f>
        <v>792535</v>
      </c>
      <c r="H12" s="23"/>
      <c r="I12" s="22">
        <f>+[65]Delaware!AH16</f>
        <v>7792</v>
      </c>
      <c r="J12" s="22">
        <f>+[65]Maryland!AH16</f>
        <v>0</v>
      </c>
      <c r="K12" s="22">
        <v>0</v>
      </c>
      <c r="L12" s="22">
        <f>+'[65]FPU-NG'!AH16</f>
        <v>21987.3417721519</v>
      </c>
      <c r="M12" s="22">
        <f>+[65]Electric!AH16</f>
        <v>-5110</v>
      </c>
      <c r="N12" s="22">
        <f>+[65]ESNG!AH18</f>
        <v>257630</v>
      </c>
    </row>
    <row r="13" spans="1:16" x14ac:dyDescent="0.3">
      <c r="A13" s="10" t="s">
        <v>22</v>
      </c>
      <c r="B13" s="22">
        <v>0</v>
      </c>
      <c r="C13" s="24">
        <v>0</v>
      </c>
      <c r="D13" s="24">
        <v>0</v>
      </c>
      <c r="E13" s="23">
        <v>0</v>
      </c>
      <c r="F13" s="23"/>
      <c r="G13" s="23">
        <f>+[65]ESNG!O19</f>
        <v>-1155401</v>
      </c>
      <c r="H13" s="23"/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f>+[65]ESNG!AH19</f>
        <v>-488044</v>
      </c>
    </row>
    <row r="14" spans="1:16" ht="15" thickBot="1" x14ac:dyDescent="0.35">
      <c r="A14" s="72" t="s">
        <v>180</v>
      </c>
      <c r="B14" s="27">
        <f t="shared" ref="B14:G14" si="0">SUM(B8:B13)</f>
        <v>807940</v>
      </c>
      <c r="C14" s="27">
        <f t="shared" si="0"/>
        <v>277447</v>
      </c>
      <c r="D14" s="27">
        <f t="shared" si="0"/>
        <v>1487413</v>
      </c>
      <c r="E14" s="27">
        <f t="shared" si="0"/>
        <v>876248</v>
      </c>
      <c r="F14" s="27">
        <f t="shared" si="0"/>
        <v>50856</v>
      </c>
      <c r="G14" s="27">
        <f t="shared" si="0"/>
        <v>2135448</v>
      </c>
      <c r="H14" s="23"/>
      <c r="I14" s="27">
        <f t="shared" ref="I14:N14" si="1">SUM(I8:I13)</f>
        <v>651833</v>
      </c>
      <c r="J14" s="27">
        <f t="shared" si="1"/>
        <v>242247</v>
      </c>
      <c r="K14" s="27">
        <f t="shared" si="1"/>
        <v>1528713.8250073036</v>
      </c>
      <c r="L14" s="27">
        <f t="shared" si="1"/>
        <v>824206.42648490751</v>
      </c>
      <c r="M14" s="27">
        <f t="shared" si="1"/>
        <v>50350</v>
      </c>
      <c r="N14" s="27">
        <f t="shared" si="1"/>
        <v>2716769</v>
      </c>
    </row>
    <row r="15" spans="1:16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6" x14ac:dyDescent="0.3">
      <c r="A16" s="10"/>
      <c r="B16" s="23"/>
      <c r="C16" s="7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6" x14ac:dyDescent="0.3">
      <c r="A17" s="10"/>
      <c r="B17" s="28"/>
      <c r="C17" s="15" t="s">
        <v>183</v>
      </c>
      <c r="D17" s="74"/>
      <c r="E17" s="19"/>
      <c r="F17" s="19"/>
      <c r="G17" s="19"/>
      <c r="H17" s="75"/>
      <c r="I17" s="19"/>
      <c r="J17" s="15" t="s">
        <v>184</v>
      </c>
      <c r="K17" s="19"/>
      <c r="L17" s="19"/>
      <c r="M17" s="19"/>
      <c r="N17" s="19"/>
    </row>
    <row r="18" spans="1:16" ht="40.200000000000003" x14ac:dyDescent="0.3">
      <c r="A18" s="70" t="s">
        <v>178</v>
      </c>
      <c r="B18" s="19" t="s">
        <v>11</v>
      </c>
      <c r="C18" s="19" t="s">
        <v>12</v>
      </c>
      <c r="D18" s="20" t="s">
        <v>13</v>
      </c>
      <c r="E18" s="19" t="s">
        <v>14</v>
      </c>
      <c r="F18" s="19" t="s">
        <v>15</v>
      </c>
      <c r="G18" s="19" t="s">
        <v>16</v>
      </c>
      <c r="H18" s="71"/>
      <c r="I18" s="19" t="s">
        <v>11</v>
      </c>
      <c r="J18" s="19" t="s">
        <v>12</v>
      </c>
      <c r="K18" s="19" t="s">
        <v>13</v>
      </c>
      <c r="L18" s="19" t="s">
        <v>14</v>
      </c>
      <c r="M18" s="19" t="s">
        <v>15</v>
      </c>
      <c r="N18" s="19" t="s">
        <v>16</v>
      </c>
      <c r="O18" s="12"/>
      <c r="P18" s="12"/>
    </row>
    <row r="19" spans="1:16" x14ac:dyDescent="0.3">
      <c r="A19" s="12" t="s">
        <v>17</v>
      </c>
      <c r="B19" s="23">
        <f>+[65]Delaware!C13</f>
        <v>1996997</v>
      </c>
      <c r="C19" s="24">
        <f>+[65]Maryland!C13</f>
        <v>440041</v>
      </c>
      <c r="D19" s="24">
        <f>ROUND([65]CFG!C13,0)</f>
        <v>305478</v>
      </c>
      <c r="E19" s="23">
        <f>+'[65]FPU-NG'!C13</f>
        <v>1186619.966695881</v>
      </c>
      <c r="F19" s="23">
        <f>+[65]Electric!C13</f>
        <v>292981.27500000002</v>
      </c>
      <c r="G19" s="23">
        <v>0</v>
      </c>
      <c r="H19" s="23"/>
      <c r="I19" s="23">
        <f>+[65]Delaware!V13</f>
        <v>2306224</v>
      </c>
      <c r="J19" s="23">
        <f>+[65]Maryland!V13</f>
        <v>521674</v>
      </c>
      <c r="K19" s="23">
        <f>+[65]CFG!V13</f>
        <v>305376.20079851989</v>
      </c>
      <c r="L19" s="23">
        <f>+'[65]FPU-NG'!V13</f>
        <v>1158383.3904576439</v>
      </c>
      <c r="M19" s="23">
        <f>+[65]Electric!V13</f>
        <v>318065</v>
      </c>
      <c r="N19" s="23">
        <v>0</v>
      </c>
    </row>
    <row r="20" spans="1:16" x14ac:dyDescent="0.3">
      <c r="A20" s="12" t="s">
        <v>18</v>
      </c>
      <c r="B20" s="23">
        <f>+[65]Delaware!C14</f>
        <v>1923590</v>
      </c>
      <c r="C20" s="24">
        <f>+[65]Maryland!C14</f>
        <v>712135</v>
      </c>
      <c r="D20" s="24">
        <f>+[65]CFG!C14</f>
        <v>1299278</v>
      </c>
      <c r="E20" s="23">
        <f>+'[65]FPU-NG'!C14</f>
        <v>2732697.6780601814</v>
      </c>
      <c r="F20" s="23">
        <f>+[65]Electric!C14</f>
        <v>310003.75199999998</v>
      </c>
      <c r="G20" s="23">
        <v>0</v>
      </c>
      <c r="H20" s="23"/>
      <c r="I20" s="23">
        <f>+[65]Delaware!V14</f>
        <v>2231042</v>
      </c>
      <c r="J20" s="23">
        <f>+[65]Maryland!V14</f>
        <v>767908</v>
      </c>
      <c r="K20" s="23">
        <f>+[65]CFG!V14</f>
        <v>1200991.4808647386</v>
      </c>
      <c r="L20" s="23">
        <f>+'[65]FPU-NG'!V14</f>
        <v>2927285.622200584</v>
      </c>
      <c r="M20" s="23">
        <f>+[65]Electric!V14</f>
        <v>326704</v>
      </c>
      <c r="N20" s="23">
        <v>0</v>
      </c>
    </row>
    <row r="21" spans="1:16" x14ac:dyDescent="0.3">
      <c r="A21" s="12" t="s">
        <v>19</v>
      </c>
      <c r="B21" s="23">
        <f>+[65]Delaware!C15</f>
        <v>2437194</v>
      </c>
      <c r="C21" s="24">
        <f>+[65]Maryland!C15</f>
        <v>1320148</v>
      </c>
      <c r="D21" s="24">
        <f>+[65]CFG!C15</f>
        <v>13753540</v>
      </c>
      <c r="E21" s="23">
        <f>+'[65]FPU-NG'!C15</f>
        <v>3396564.3202843508</v>
      </c>
      <c r="F21" s="23">
        <f>+[65]Electric!C15</f>
        <v>58640</v>
      </c>
      <c r="G21" s="23">
        <v>0</v>
      </c>
      <c r="H21" s="23"/>
      <c r="I21" s="23">
        <f>+[65]Delaware!V15</f>
        <v>1864829</v>
      </c>
      <c r="J21" s="23">
        <f>+[65]Maryland!V15</f>
        <v>1187176</v>
      </c>
      <c r="K21" s="23">
        <f>+[65]CFG!V15</f>
        <v>13757438.630830657</v>
      </c>
      <c r="L21" s="23">
        <f>+'[65]FPU-NG'!V15</f>
        <v>2868383.8617332038</v>
      </c>
      <c r="M21" s="23">
        <f>+[65]Electric!V15</f>
        <v>52440</v>
      </c>
      <c r="N21" s="23">
        <v>0</v>
      </c>
    </row>
    <row r="22" spans="1:16" x14ac:dyDescent="0.3">
      <c r="A22" s="12" t="s">
        <v>179</v>
      </c>
      <c r="B22" s="23">
        <v>0</v>
      </c>
      <c r="C22" s="24">
        <v>0</v>
      </c>
      <c r="D22" s="24">
        <v>0</v>
      </c>
      <c r="E22" s="23">
        <v>0</v>
      </c>
      <c r="F22" s="23">
        <f>+[65]Electric!C16</f>
        <v>9372.9590000000026</v>
      </c>
      <c r="G22" s="23">
        <f>+[65]ESNG!C17</f>
        <v>29959572</v>
      </c>
      <c r="H22" s="23"/>
      <c r="I22" s="23">
        <v>0</v>
      </c>
      <c r="J22" s="23">
        <v>0</v>
      </c>
      <c r="K22" s="23">
        <v>0</v>
      </c>
      <c r="L22" s="23">
        <v>0</v>
      </c>
      <c r="M22" s="23">
        <f>+[65]Electric!V16</f>
        <v>-2556</v>
      </c>
      <c r="N22" s="23">
        <f>+[65]ESNG!V17</f>
        <v>23602310</v>
      </c>
    </row>
    <row r="23" spans="1:16" x14ac:dyDescent="0.3">
      <c r="A23" s="12" t="s">
        <v>21</v>
      </c>
      <c r="B23" s="23">
        <f>+[65]Delaware!C16</f>
        <v>120156</v>
      </c>
      <c r="C23" s="24">
        <v>0</v>
      </c>
      <c r="D23" s="24">
        <v>0</v>
      </c>
      <c r="E23" s="23">
        <f>+'[65]FPU-NG'!C16</f>
        <v>176810.20058422588</v>
      </c>
      <c r="F23" s="23">
        <v>0</v>
      </c>
      <c r="G23" s="23">
        <f>+[65]ESNG!C18</f>
        <v>2754171</v>
      </c>
      <c r="H23" s="23"/>
      <c r="I23" s="23">
        <f>+[65]Delaware!V16</f>
        <v>101644</v>
      </c>
      <c r="J23" s="23">
        <f>+[65]Maryland!V16</f>
        <v>0</v>
      </c>
      <c r="K23" s="23">
        <v>0</v>
      </c>
      <c r="L23" s="23">
        <f>+'[65]FPU-NG'!V16</f>
        <v>-165855.14703018498</v>
      </c>
      <c r="M23" s="23">
        <v>0</v>
      </c>
      <c r="N23" s="23">
        <f>+[65]ESNG!V18</f>
        <v>1225562</v>
      </c>
    </row>
    <row r="24" spans="1:16" x14ac:dyDescent="0.3">
      <c r="A24" s="10" t="s">
        <v>22</v>
      </c>
      <c r="B24" s="23">
        <v>0</v>
      </c>
      <c r="C24" s="24">
        <v>0</v>
      </c>
      <c r="D24" s="24">
        <v>0</v>
      </c>
      <c r="E24" s="23">
        <v>0</v>
      </c>
      <c r="F24" s="23">
        <v>0</v>
      </c>
      <c r="G24" s="23">
        <f>+[65]ESNG!C19</f>
        <v>-9348637</v>
      </c>
      <c r="H24" s="23"/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f>+[65]ESNG!V19</f>
        <v>-4686176</v>
      </c>
    </row>
    <row r="25" spans="1:16" ht="15" thickBot="1" x14ac:dyDescent="0.35">
      <c r="A25" s="72" t="s">
        <v>180</v>
      </c>
      <c r="B25" s="27">
        <f t="shared" ref="B25:G25" si="2">SUM(B19:B24)</f>
        <v>6477937</v>
      </c>
      <c r="C25" s="27">
        <f t="shared" si="2"/>
        <v>2472324</v>
      </c>
      <c r="D25" s="27">
        <f t="shared" si="2"/>
        <v>15358296</v>
      </c>
      <c r="E25" s="27">
        <f t="shared" si="2"/>
        <v>7492692.16562464</v>
      </c>
      <c r="F25" s="27">
        <f t="shared" si="2"/>
        <v>670997.98600000003</v>
      </c>
      <c r="G25" s="27">
        <f t="shared" si="2"/>
        <v>23365106</v>
      </c>
      <c r="H25" s="23"/>
      <c r="I25" s="27">
        <f t="shared" ref="I25:N25" si="3">SUM(I19:I24)</f>
        <v>6503739</v>
      </c>
      <c r="J25" s="27">
        <f t="shared" si="3"/>
        <v>2476758</v>
      </c>
      <c r="K25" s="27">
        <f t="shared" si="3"/>
        <v>15263806.312493915</v>
      </c>
      <c r="L25" s="27">
        <f t="shared" si="3"/>
        <v>6788197.7273612469</v>
      </c>
      <c r="M25" s="27">
        <f t="shared" si="3"/>
        <v>694653</v>
      </c>
      <c r="N25" s="27">
        <f t="shared" si="3"/>
        <v>20141696</v>
      </c>
    </row>
    <row r="26" spans="1:16" x14ac:dyDescent="0.3">
      <c r="A26" s="77"/>
      <c r="B26" s="78"/>
      <c r="C26" s="79"/>
      <c r="D26" s="79"/>
      <c r="E26" s="78"/>
      <c r="F26" s="78"/>
      <c r="G26" s="78"/>
      <c r="H26" s="80"/>
      <c r="I26" s="78"/>
      <c r="J26" s="78"/>
      <c r="K26" s="78"/>
      <c r="L26" s="78"/>
      <c r="M26" s="78"/>
      <c r="N26" s="78"/>
    </row>
    <row r="27" spans="1:16" x14ac:dyDescent="0.3">
      <c r="A27" s="81"/>
      <c r="B27" s="78"/>
      <c r="C27" s="79"/>
      <c r="D27" s="79"/>
      <c r="E27" s="78"/>
      <c r="F27" s="78"/>
      <c r="G27" s="78"/>
      <c r="H27" s="80"/>
      <c r="I27" s="78"/>
      <c r="J27" s="78"/>
      <c r="K27" s="78"/>
      <c r="L27" s="78"/>
      <c r="M27" s="78"/>
      <c r="N27" s="78"/>
    </row>
    <row r="28" spans="1:16" x14ac:dyDescent="0.3">
      <c r="A28" s="81"/>
      <c r="B28" s="78"/>
      <c r="C28" s="79"/>
      <c r="D28" s="79"/>
      <c r="E28" s="78"/>
      <c r="F28" s="78"/>
      <c r="G28" s="78"/>
      <c r="H28" s="80"/>
      <c r="I28" s="78"/>
      <c r="J28" s="78"/>
      <c r="K28" s="78"/>
      <c r="L28" s="78"/>
      <c r="M28" s="78"/>
      <c r="N28" s="78"/>
    </row>
    <row r="29" spans="1:16" x14ac:dyDescent="0.3">
      <c r="B29" s="78"/>
      <c r="C29" s="79"/>
      <c r="D29" s="79"/>
      <c r="E29" s="78"/>
      <c r="F29" s="78"/>
      <c r="G29" s="78"/>
      <c r="H29" s="80"/>
      <c r="I29" s="78"/>
      <c r="J29" s="78"/>
      <c r="K29" s="78"/>
      <c r="L29" s="78"/>
      <c r="M29" s="78"/>
      <c r="N29" s="78"/>
    </row>
    <row r="30" spans="1:16" x14ac:dyDescent="0.3">
      <c r="B30" s="78"/>
      <c r="C30" s="78"/>
      <c r="D30" s="79"/>
      <c r="E30" s="78"/>
      <c r="F30" s="78"/>
      <c r="G30" s="78"/>
      <c r="H30" s="80"/>
      <c r="I30" s="78"/>
      <c r="J30" s="78"/>
      <c r="K30" s="78"/>
      <c r="L30" s="78"/>
      <c r="M30" s="78"/>
      <c r="N30" s="78"/>
    </row>
  </sheetData>
  <pageMargins left="0.7" right="0.7" top="0.75" bottom="0.75" header="0.3" footer="0.3"/>
  <pageSetup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E14" sqref="E14:F14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5" width="13.44140625" customWidth="1"/>
  </cols>
  <sheetData>
    <row r="1" spans="1:17" ht="16.2" x14ac:dyDescent="0.4">
      <c r="H1" s="7" t="s">
        <v>6</v>
      </c>
    </row>
    <row r="2" spans="1:17" ht="16.2" x14ac:dyDescent="0.4">
      <c r="A2" s="1"/>
      <c r="B2" s="66"/>
      <c r="E2" s="67"/>
      <c r="H2" s="7" t="s">
        <v>177</v>
      </c>
    </row>
    <row r="3" spans="1:17" ht="16.2" x14ac:dyDescent="0.4">
      <c r="A3" s="1"/>
      <c r="B3" s="66"/>
      <c r="E3" s="67"/>
      <c r="G3" s="7"/>
      <c r="H3" s="7" t="str">
        <f>+'[66]Reg-Cust'!G3</f>
        <v>For the Twelve Months ended December 31, 2013 and 2012</v>
      </c>
    </row>
    <row r="4" spans="1:17" ht="16.2" x14ac:dyDescent="0.4">
      <c r="A4" s="1"/>
      <c r="B4" s="66"/>
      <c r="E4" s="67"/>
      <c r="G4" s="7"/>
      <c r="H4" s="7"/>
    </row>
    <row r="5" spans="1:17" ht="16.2" x14ac:dyDescent="0.4">
      <c r="A5" s="1"/>
      <c r="B5" s="66"/>
      <c r="E5" s="67"/>
      <c r="G5" s="7"/>
      <c r="H5" s="7"/>
    </row>
    <row r="6" spans="1:17" s="12" customFormat="1" ht="13.2" x14ac:dyDescent="0.25">
      <c r="B6" s="68"/>
      <c r="C6" s="15" t="s">
        <v>187</v>
      </c>
      <c r="D6" s="15"/>
      <c r="E6" s="16"/>
      <c r="F6" s="17"/>
      <c r="G6" s="17"/>
      <c r="H6" s="17"/>
      <c r="I6" s="13"/>
      <c r="J6" s="69"/>
      <c r="K6" s="15" t="s">
        <v>181</v>
      </c>
      <c r="L6" s="69"/>
      <c r="M6" s="69"/>
      <c r="N6" s="69"/>
      <c r="O6" s="17"/>
    </row>
    <row r="7" spans="1:17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  <c r="P7" s="12"/>
      <c r="Q7" s="12"/>
    </row>
    <row r="8" spans="1:17" x14ac:dyDescent="0.3">
      <c r="A8" s="12" t="s">
        <v>17</v>
      </c>
      <c r="B8" s="22">
        <f>+[66]Delaware!O13</f>
        <v>354851</v>
      </c>
      <c r="C8" s="24">
        <f>+[66]Maryland!O13</f>
        <v>74536</v>
      </c>
      <c r="D8" s="24">
        <f>'[66]Worcester County'!O13</f>
        <v>37612</v>
      </c>
      <c r="E8" s="24">
        <f>+[66]CFG!O13</f>
        <v>29716.914986853637</v>
      </c>
      <c r="F8" s="23">
        <f>+'[66]FPU-NG'!O13</f>
        <v>126256</v>
      </c>
      <c r="G8" s="23">
        <f>+[66]Electric!O13</f>
        <v>22136</v>
      </c>
      <c r="H8" s="23">
        <f>+[66]ESNG!O14</f>
        <v>0</v>
      </c>
      <c r="I8" s="23"/>
      <c r="J8" s="22">
        <f>+[66]Delaware!AH13</f>
        <v>0</v>
      </c>
      <c r="K8" s="22">
        <f>+[66]Maryland!AH13</f>
        <v>66769</v>
      </c>
      <c r="L8" s="22">
        <f>+[66]CFG!AH13</f>
        <v>28860</v>
      </c>
      <c r="M8" s="22">
        <f>+'[66]FPU-NG'!AH13</f>
        <v>129495</v>
      </c>
      <c r="N8" s="22">
        <f>+[66]Electric!AH13</f>
        <v>21341</v>
      </c>
      <c r="O8" s="22">
        <v>0</v>
      </c>
    </row>
    <row r="9" spans="1:17" x14ac:dyDescent="0.3">
      <c r="A9" s="12" t="s">
        <v>18</v>
      </c>
      <c r="B9" s="22">
        <f>+[66]Delaware!O14</f>
        <v>310181</v>
      </c>
      <c r="C9" s="24">
        <f>+[66]Maryland!O14</f>
        <v>107771</v>
      </c>
      <c r="D9" s="24">
        <f>'[66]Worcester County'!O14</f>
        <v>26034</v>
      </c>
      <c r="E9" s="24">
        <f>+[66]CFG!O14</f>
        <v>122773.00613496933</v>
      </c>
      <c r="F9" s="23">
        <f>+'[66]FPU-NG'!O14</f>
        <v>254637</v>
      </c>
      <c r="G9" s="23">
        <f>+[66]Electric!O14</f>
        <v>23467</v>
      </c>
      <c r="H9" s="23">
        <f>+[66]ESNG!O15</f>
        <v>0</v>
      </c>
      <c r="I9" s="23"/>
      <c r="J9" s="22">
        <f>+[66]Delaware!AH14</f>
        <v>0</v>
      </c>
      <c r="K9" s="22">
        <f>+[66]Maryland!AH14</f>
        <v>89216</v>
      </c>
      <c r="L9" s="22">
        <f>+[66]CFG!AH14</f>
        <v>119379</v>
      </c>
      <c r="M9" s="22">
        <f>+'[66]FPU-NG'!AH14</f>
        <v>257996</v>
      </c>
      <c r="N9" s="22">
        <f>+[66]Electric!AH14</f>
        <v>22941</v>
      </c>
      <c r="O9" s="22">
        <v>0</v>
      </c>
    </row>
    <row r="10" spans="1:17" x14ac:dyDescent="0.3">
      <c r="A10" s="12" t="s">
        <v>19</v>
      </c>
      <c r="B10" s="22">
        <f>+[66]Delaware!O15</f>
        <v>270664</v>
      </c>
      <c r="C10" s="24">
        <f>+[66]Maryland!O15</f>
        <v>129946</v>
      </c>
      <c r="D10" s="24">
        <f>'[66]Worcester County'!O15</f>
        <v>1651</v>
      </c>
      <c r="E10" s="24">
        <f>+[66]CFG!O15</f>
        <v>1133651.4753140521</v>
      </c>
      <c r="F10" s="23">
        <f>+'[66]FPU-NG'!O15</f>
        <v>380429</v>
      </c>
      <c r="G10" s="23">
        <f>+[66]Electric!O15</f>
        <v>1620</v>
      </c>
      <c r="H10" s="23">
        <f>+[66]ESNG!O16</f>
        <v>0</v>
      </c>
      <c r="I10" s="23"/>
      <c r="J10" s="22">
        <f>+[66]Delaware!AH15</f>
        <v>0</v>
      </c>
      <c r="K10" s="22">
        <f>+[66]Maryland!AH15</f>
        <v>121462</v>
      </c>
      <c r="L10" s="22">
        <f>+[66]CFG!AH15</f>
        <v>1339174</v>
      </c>
      <c r="M10" s="22">
        <f>+'[66]FPU-NG'!AH15</f>
        <v>432204</v>
      </c>
      <c r="N10" s="22">
        <f>+[66]Electric!AH15</f>
        <v>3000</v>
      </c>
      <c r="O10" s="22">
        <v>0</v>
      </c>
    </row>
    <row r="11" spans="1:17" x14ac:dyDescent="0.3">
      <c r="A11" s="12" t="s">
        <v>179</v>
      </c>
      <c r="B11" s="22">
        <v>0</v>
      </c>
      <c r="C11" s="24">
        <v>0</v>
      </c>
      <c r="D11" s="24">
        <v>0</v>
      </c>
      <c r="E11" s="24">
        <v>0</v>
      </c>
      <c r="F11" s="23">
        <v>0</v>
      </c>
      <c r="G11" s="23">
        <v>0</v>
      </c>
      <c r="H11" s="23">
        <f>+[66]ESNG!O17</f>
        <v>3432405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>+[66]ESNG!AH17</f>
        <v>2498314</v>
      </c>
    </row>
    <row r="12" spans="1:17" x14ac:dyDescent="0.3">
      <c r="A12" s="12" t="s">
        <v>21</v>
      </c>
      <c r="B12" s="22">
        <f>+[66]Delaware!O16</f>
        <v>3904</v>
      </c>
      <c r="C12" s="24">
        <f>+[66]Maryland!O16</f>
        <v>0</v>
      </c>
      <c r="D12" s="24">
        <f>'[66]Worcester County'!O16</f>
        <v>0</v>
      </c>
      <c r="E12" s="24">
        <f>+[66]CFG!O16</f>
        <v>0</v>
      </c>
      <c r="F12" s="23">
        <f>+'[66]FPU-NG'!O16</f>
        <v>37434.27458617332</v>
      </c>
      <c r="G12" s="23">
        <f>+[66]Electric!O16</f>
        <v>2715</v>
      </c>
      <c r="H12" s="23">
        <f>+[66]ESNG!O18</f>
        <v>162436</v>
      </c>
      <c r="I12" s="23"/>
      <c r="J12" s="22">
        <f>+[66]Delaware!AH16</f>
        <v>0</v>
      </c>
      <c r="K12" s="22">
        <f>+[66]Maryland!AH16</f>
        <v>0</v>
      </c>
      <c r="L12" s="22">
        <v>0</v>
      </c>
      <c r="M12" s="22">
        <f>+'[66]FPU-NG'!AH16</f>
        <v>56553</v>
      </c>
      <c r="N12" s="22">
        <f>+[66]Electric!AH16</f>
        <v>3574</v>
      </c>
      <c r="O12" s="22">
        <f>+[66]ESNG!AH18</f>
        <v>792535</v>
      </c>
    </row>
    <row r="13" spans="1:17" x14ac:dyDescent="0.3">
      <c r="A13" s="10" t="s">
        <v>22</v>
      </c>
      <c r="B13" s="22">
        <v>0</v>
      </c>
      <c r="C13" s="24">
        <v>0</v>
      </c>
      <c r="D13" s="24">
        <v>0</v>
      </c>
      <c r="E13" s="24">
        <v>0</v>
      </c>
      <c r="F13" s="23">
        <v>0</v>
      </c>
      <c r="G13" s="23">
        <v>0</v>
      </c>
      <c r="H13" s="23">
        <f>+[66]ESNG!O19</f>
        <v>-1286620</v>
      </c>
      <c r="I13" s="23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f>+[66]ESNG!AH19</f>
        <v>-1155401</v>
      </c>
    </row>
    <row r="14" spans="1:17" ht="15" thickBot="1" x14ac:dyDescent="0.35">
      <c r="A14" s="72" t="s">
        <v>180</v>
      </c>
      <c r="B14" s="27">
        <f t="shared" ref="B14:H14" si="0">SUM(B8:B13)</f>
        <v>939600</v>
      </c>
      <c r="C14" s="27">
        <f t="shared" si="0"/>
        <v>312253</v>
      </c>
      <c r="D14" s="27">
        <f t="shared" si="0"/>
        <v>65297</v>
      </c>
      <c r="E14" s="27">
        <f t="shared" si="0"/>
        <v>1286141.396435875</v>
      </c>
      <c r="F14" s="27">
        <f t="shared" si="0"/>
        <v>798756.27458617336</v>
      </c>
      <c r="G14" s="27">
        <f t="shared" si="0"/>
        <v>49938</v>
      </c>
      <c r="H14" s="27">
        <f t="shared" si="0"/>
        <v>2308221</v>
      </c>
      <c r="I14" s="23"/>
      <c r="J14" s="27">
        <f t="shared" ref="J14:O14" si="1">SUM(J8:J13)</f>
        <v>0</v>
      </c>
      <c r="K14" s="27">
        <f t="shared" si="1"/>
        <v>277447</v>
      </c>
      <c r="L14" s="27">
        <f t="shared" si="1"/>
        <v>1487413</v>
      </c>
      <c r="M14" s="27">
        <f t="shared" si="1"/>
        <v>876248</v>
      </c>
      <c r="N14" s="27">
        <f t="shared" si="1"/>
        <v>50856</v>
      </c>
      <c r="O14" s="27">
        <f t="shared" si="1"/>
        <v>2135448</v>
      </c>
    </row>
    <row r="15" spans="1:17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7" x14ac:dyDescent="0.3">
      <c r="A17" s="10"/>
      <c r="B17" s="28"/>
      <c r="C17" s="15" t="s">
        <v>188</v>
      </c>
      <c r="D17" s="15"/>
      <c r="E17" s="74"/>
      <c r="F17" s="19"/>
      <c r="G17" s="19"/>
      <c r="H17" s="19"/>
      <c r="I17" s="75"/>
      <c r="J17" s="19"/>
      <c r="K17" s="15" t="s">
        <v>183</v>
      </c>
      <c r="L17" s="19"/>
      <c r="M17" s="19"/>
      <c r="N17" s="19"/>
      <c r="O17" s="19"/>
    </row>
    <row r="18" spans="1:17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  <c r="P18" s="12"/>
      <c r="Q18" s="12"/>
    </row>
    <row r="19" spans="1:17" x14ac:dyDescent="0.3">
      <c r="A19" s="12" t="s">
        <v>17</v>
      </c>
      <c r="B19" s="23">
        <f>+[66]Delaware!C13</f>
        <v>2426256</v>
      </c>
      <c r="C19" s="24">
        <f>+[66]Maryland!C13</f>
        <v>533386</v>
      </c>
      <c r="D19" s="24">
        <f>'[66]Worcester County'!C13</f>
        <v>87495.6</v>
      </c>
      <c r="E19" s="24">
        <f>ROUND([66]CFG!C13,0)</f>
        <v>316363</v>
      </c>
      <c r="F19" s="23">
        <f>+'[66]FPU-NG'!C13</f>
        <v>1185957</v>
      </c>
      <c r="G19" s="23">
        <f>+[66]Electric!C13</f>
        <v>289744.97700000001</v>
      </c>
      <c r="H19" s="23">
        <v>0</v>
      </c>
      <c r="I19" s="23"/>
      <c r="J19" s="23">
        <f>+[66]Delaware!V13</f>
        <v>1319914</v>
      </c>
      <c r="K19" s="23">
        <f>+[66]Maryland!V13</f>
        <v>440041</v>
      </c>
      <c r="L19" s="23">
        <f>+[66]CFG!V13</f>
        <v>305478</v>
      </c>
      <c r="M19" s="23">
        <f>+'[66]FPU-NG'!V13</f>
        <v>1186619.966695881</v>
      </c>
      <c r="N19" s="23">
        <f>+[66]Electric!V13</f>
        <v>292981.27500000002</v>
      </c>
      <c r="O19" s="23">
        <v>0</v>
      </c>
    </row>
    <row r="20" spans="1:17" x14ac:dyDescent="0.3">
      <c r="A20" s="12" t="s">
        <v>18</v>
      </c>
      <c r="B20" s="23">
        <f>+[66]Delaware!C14</f>
        <v>2190271</v>
      </c>
      <c r="C20" s="24">
        <f>+[66]Maryland!C14</f>
        <v>836749</v>
      </c>
      <c r="D20" s="24">
        <f>'[66]Worcester County'!C14</f>
        <v>190659.4</v>
      </c>
      <c r="E20" s="24">
        <f>+[66]CFG!C14</f>
        <v>1334509.2806505016</v>
      </c>
      <c r="F20" s="23">
        <f>+'[66]FPU-NG'!C14</f>
        <v>2690408</v>
      </c>
      <c r="G20" s="23">
        <f>+[66]Electric!C14</f>
        <v>309812.94199999998</v>
      </c>
      <c r="H20" s="23">
        <v>0</v>
      </c>
      <c r="I20" s="23"/>
      <c r="J20" s="23">
        <f>+[66]Delaware!V14</f>
        <v>1117298</v>
      </c>
      <c r="K20" s="23">
        <f>+[66]Maryland!V14</f>
        <v>712135</v>
      </c>
      <c r="L20" s="23">
        <f>+[66]CFG!V14</f>
        <v>1299278</v>
      </c>
      <c r="M20" s="23">
        <f>+'[66]FPU-NG'!V14</f>
        <v>2732697.6780601814</v>
      </c>
      <c r="N20" s="23">
        <f>+[66]Electric!V14</f>
        <v>310003.75199999998</v>
      </c>
      <c r="O20" s="23">
        <v>0</v>
      </c>
    </row>
    <row r="21" spans="1:17" x14ac:dyDescent="0.3">
      <c r="A21" s="12" t="s">
        <v>19</v>
      </c>
      <c r="B21" s="23">
        <f>+[66]Delaware!C15</f>
        <v>2655442</v>
      </c>
      <c r="C21" s="24">
        <f>+[66]Maryland!C15</f>
        <v>1272782</v>
      </c>
      <c r="D21" s="24">
        <f>'[66]Worcester County'!C15</f>
        <v>29476.400000000001</v>
      </c>
      <c r="E21" s="24">
        <f>+[66]CFG!C15</f>
        <v>13102297.106144708</v>
      </c>
      <c r="F21" s="23">
        <f>+'[66]FPU-NG'!C15</f>
        <v>3592158</v>
      </c>
      <c r="G21" s="23">
        <f>+[66]Electric!C15</f>
        <v>31120</v>
      </c>
      <c r="H21" s="23">
        <v>0</v>
      </c>
      <c r="I21" s="23"/>
      <c r="J21" s="23">
        <f>+[66]Delaware!V15</f>
        <v>1178492</v>
      </c>
      <c r="K21" s="23">
        <f>+[66]Maryland!V15</f>
        <v>1320148</v>
      </c>
      <c r="L21" s="23">
        <f>+[66]CFG!V15+1</f>
        <v>13753541</v>
      </c>
      <c r="M21" s="23">
        <f>+'[66]FPU-NG'!V15</f>
        <v>3396564.3202843508</v>
      </c>
      <c r="N21" s="23">
        <f>+[66]Electric!V15</f>
        <v>58640</v>
      </c>
      <c r="O21" s="23">
        <v>0</v>
      </c>
    </row>
    <row r="22" spans="1:17" x14ac:dyDescent="0.3">
      <c r="A22" s="12" t="s">
        <v>179</v>
      </c>
      <c r="B22" s="23">
        <v>0</v>
      </c>
      <c r="C22" s="24">
        <v>0</v>
      </c>
      <c r="D22" s="24">
        <v>0</v>
      </c>
      <c r="E22" s="24">
        <v>0</v>
      </c>
      <c r="F22" s="23">
        <v>0</v>
      </c>
      <c r="G22" s="23">
        <f>+[66]Electric!C16</f>
        <v>18346.764999999999</v>
      </c>
      <c r="H22" s="23">
        <f>+[66]ESNG!C17</f>
        <v>32472109</v>
      </c>
      <c r="I22" s="23"/>
      <c r="J22" s="23">
        <v>0</v>
      </c>
      <c r="K22" s="23">
        <v>0</v>
      </c>
      <c r="L22" s="23">
        <v>0</v>
      </c>
      <c r="M22" s="23">
        <v>0</v>
      </c>
      <c r="N22" s="23">
        <f>+[66]Electric!V16-1</f>
        <v>9371.9590000000026</v>
      </c>
      <c r="O22" s="23">
        <f>+[66]ESNG!V17</f>
        <v>29959572</v>
      </c>
    </row>
    <row r="23" spans="1:17" x14ac:dyDescent="0.3">
      <c r="A23" s="12" t="s">
        <v>21</v>
      </c>
      <c r="B23" s="23">
        <f>+[66]Delaware!C16</f>
        <v>65245</v>
      </c>
      <c r="C23" s="24">
        <f>+[66]Maryland!C16</f>
        <v>0</v>
      </c>
      <c r="D23" s="24">
        <f>'[66]Worcester County'!C16</f>
        <v>0</v>
      </c>
      <c r="E23" s="24">
        <v>0</v>
      </c>
      <c r="F23" s="23">
        <f>+'[66]FPU-NG'!C16</f>
        <v>-79582.278481012676</v>
      </c>
      <c r="G23" s="23">
        <v>0</v>
      </c>
      <c r="H23" s="23">
        <f>+[66]ESNG!C18</f>
        <v>3268023</v>
      </c>
      <c r="I23" s="23"/>
      <c r="J23" s="23">
        <f>+[66]Delaware!V16</f>
        <v>48192</v>
      </c>
      <c r="K23" s="23">
        <f>+[66]Maryland!V16</f>
        <v>0</v>
      </c>
      <c r="L23" s="23">
        <v>0</v>
      </c>
      <c r="M23" s="23">
        <f>+'[66]FPU-NG'!V16</f>
        <v>176810.20058422588</v>
      </c>
      <c r="N23" s="23">
        <v>0</v>
      </c>
      <c r="O23" s="23">
        <f>+[66]ESNG!V18</f>
        <v>2754171</v>
      </c>
    </row>
    <row r="24" spans="1:17" x14ac:dyDescent="0.3">
      <c r="A24" s="10" t="s">
        <v>22</v>
      </c>
      <c r="B24" s="23">
        <v>0</v>
      </c>
      <c r="C24" s="24">
        <v>0</v>
      </c>
      <c r="D24" s="24">
        <v>0</v>
      </c>
      <c r="E24" s="24">
        <v>0</v>
      </c>
      <c r="F24" s="23">
        <v>0</v>
      </c>
      <c r="G24" s="23">
        <v>0</v>
      </c>
      <c r="H24" s="23">
        <f>+[66]ESNG!C19</f>
        <v>-10258084</v>
      </c>
      <c r="I24" s="23"/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f>+[66]ESNG!V19</f>
        <v>-9348637</v>
      </c>
    </row>
    <row r="25" spans="1:17" ht="15" thickBot="1" x14ac:dyDescent="0.35">
      <c r="A25" s="72" t="s">
        <v>180</v>
      </c>
      <c r="B25" s="27">
        <f t="shared" ref="B25:H25" si="2">SUM(B19:B24)</f>
        <v>7337214</v>
      </c>
      <c r="C25" s="27">
        <f t="shared" si="2"/>
        <v>2642917</v>
      </c>
      <c r="D25" s="27">
        <f t="shared" si="2"/>
        <v>307631.40000000002</v>
      </c>
      <c r="E25" s="27">
        <f t="shared" si="2"/>
        <v>14753169.38679521</v>
      </c>
      <c r="F25" s="27">
        <f t="shared" si="2"/>
        <v>7388940.7215189878</v>
      </c>
      <c r="G25" s="27">
        <f t="shared" si="2"/>
        <v>649024.68400000001</v>
      </c>
      <c r="H25" s="27">
        <f t="shared" si="2"/>
        <v>25482048</v>
      </c>
      <c r="I25" s="23"/>
      <c r="J25" s="27">
        <f t="shared" ref="J25:O25" si="3">SUM(J19:J24)</f>
        <v>3663896</v>
      </c>
      <c r="K25" s="27">
        <f t="shared" si="3"/>
        <v>2472324</v>
      </c>
      <c r="L25" s="27">
        <f t="shared" si="3"/>
        <v>15358297</v>
      </c>
      <c r="M25" s="27">
        <f t="shared" si="3"/>
        <v>7492692.16562464</v>
      </c>
      <c r="N25" s="27">
        <f t="shared" si="3"/>
        <v>670996.98600000003</v>
      </c>
      <c r="O25" s="27">
        <f t="shared" si="3"/>
        <v>23365106</v>
      </c>
    </row>
    <row r="26" spans="1:17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8"/>
      <c r="M26" s="78"/>
      <c r="N26" s="78"/>
      <c r="O26" s="78"/>
    </row>
    <row r="27" spans="1:17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8"/>
      <c r="M27" s="78"/>
      <c r="N27" s="78"/>
      <c r="O27" s="78"/>
    </row>
    <row r="28" spans="1:17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8"/>
      <c r="M28" s="78"/>
      <c r="N28" s="78"/>
      <c r="O28" s="78"/>
    </row>
    <row r="29" spans="1:17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8"/>
      <c r="M29" s="78"/>
      <c r="N29" s="78"/>
      <c r="O29" s="78"/>
    </row>
    <row r="30" spans="1:17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</row>
  </sheetData>
  <pageMargins left="0.7" right="0.7" top="0.75" bottom="0.75" header="0.3" footer="0.3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pane xSplit="1" ySplit="7" topLeftCell="B8" activePane="bottomRight" state="frozen"/>
      <selection activeCell="B10" sqref="B10"/>
      <selection pane="topRight" activeCell="B10" sqref="B10"/>
      <selection pane="bottomLeft" activeCell="B10" sqref="B10"/>
      <selection pane="bottomRight" activeCell="B8" sqref="B8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5" width="13.44140625" customWidth="1"/>
  </cols>
  <sheetData>
    <row r="1" spans="1:17" ht="16.2" x14ac:dyDescent="0.4">
      <c r="H1" s="7" t="s">
        <v>6</v>
      </c>
    </row>
    <row r="2" spans="1:17" ht="16.2" x14ac:dyDescent="0.4">
      <c r="A2" s="1"/>
      <c r="B2" s="66"/>
      <c r="E2" s="67"/>
      <c r="H2" s="7" t="s">
        <v>177</v>
      </c>
    </row>
    <row r="3" spans="1:17" ht="16.2" x14ac:dyDescent="0.4">
      <c r="A3" s="1"/>
      <c r="B3" s="66"/>
      <c r="E3" s="67"/>
      <c r="G3" s="7"/>
      <c r="H3" s="7" t="str">
        <f>+[67]RegCust!G3</f>
        <v>For the Twelve Months ended December 31, 2014 and 2013</v>
      </c>
    </row>
    <row r="4" spans="1:17" ht="16.2" x14ac:dyDescent="0.4">
      <c r="A4" s="1"/>
      <c r="B4" s="66"/>
      <c r="E4" s="67"/>
      <c r="G4" s="7"/>
      <c r="H4" s="7"/>
    </row>
    <row r="5" spans="1:17" ht="16.2" x14ac:dyDescent="0.4">
      <c r="A5" s="1"/>
      <c r="B5" s="66"/>
      <c r="E5" s="67"/>
      <c r="G5" s="7"/>
      <c r="H5" s="7"/>
    </row>
    <row r="6" spans="1:17" s="12" customFormat="1" ht="13.2" x14ac:dyDescent="0.25">
      <c r="B6" s="68"/>
      <c r="C6" s="15"/>
      <c r="D6" s="15" t="str">
        <f>+VLOOKUP([67]INPUT_Date.Etc!$B$4,[67]INPUT_Date.Etc!$A$14:$P$25,[67]INPUT_Date.Etc!$M$12)</f>
        <v>Volume for the Month of December 2014</v>
      </c>
      <c r="E6" s="16"/>
      <c r="F6" s="17"/>
      <c r="G6" s="17"/>
      <c r="H6" s="17"/>
      <c r="I6" s="13"/>
      <c r="J6" s="69"/>
      <c r="K6" s="15"/>
      <c r="L6" s="15" t="str">
        <f>+VLOOKUP([67]INPUT_Date.Etc!$B$4,[67]INPUT_Date.Etc!$A$14:$P$25,[67]INPUT_Date.Etc!$N$12)</f>
        <v>Volume for the Month of December 2013</v>
      </c>
      <c r="M6" s="69"/>
      <c r="N6" s="69"/>
      <c r="O6" s="17"/>
    </row>
    <row r="7" spans="1:17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  <c r="P7" s="12"/>
      <c r="Q7" s="12"/>
    </row>
    <row r="8" spans="1:17" x14ac:dyDescent="0.3">
      <c r="A8" s="12" t="s">
        <v>17</v>
      </c>
      <c r="B8" s="22">
        <f>+HLOOKUP([67]INPUT_Date.Etc!$B$4,[67]Delaware!$A$4:$P$57,9, FALSE)</f>
        <v>356917</v>
      </c>
      <c r="C8" s="22">
        <f>+HLOOKUP([67]INPUT_Date.Etc!$B$4,[67]Maryland!$A$4:$P$57,9, FALSE)</f>
        <v>71097</v>
      </c>
      <c r="D8" s="22">
        <f>+HLOOKUP([67]INPUT_Date.Etc!$B$4,[67]WorcesterCounty!$A$4:$P$57,9, FALSE)</f>
        <v>34250</v>
      </c>
      <c r="E8" s="22">
        <f>+HLOOKUP([67]INPUT_Date.Etc!$B$4,[67]CFG!$A$4:$P$57,9, FALSE)</f>
        <v>39787.126302463723</v>
      </c>
      <c r="F8" s="22">
        <f>+HLOOKUP([67]INPUT_Date.Etc!$B$4,[67]FPUNG!$A$4:$P$116,9, FALSE)</f>
        <v>152241</v>
      </c>
      <c r="G8" s="22">
        <f>+HLOOKUP([67]INPUT_Date.Etc!$B$4,[67]Electric!$E$4:$P$57,9, FALSE)</f>
        <v>24910.794999999998</v>
      </c>
      <c r="H8" s="22">
        <f>+HLOOKUP([67]INPUT_Date.Etc!$B$4,[67]ESNG!$E$11:$P$15,2, FALSE)</f>
        <v>0</v>
      </c>
      <c r="I8" s="23"/>
      <c r="J8" s="22">
        <f>+HLOOKUP([67]INPUT_Date.Etc!$B$4,[67]Delaware!$T$4:$AI$52,9, FALSE)</f>
        <v>354851</v>
      </c>
      <c r="K8" s="22">
        <f>+HLOOKUP([67]INPUT_Date.Etc!$B$4,[67]Maryland!$T$4:$AI$52,9, FALSE)</f>
        <v>74536</v>
      </c>
      <c r="L8" s="22">
        <f>+HLOOKUP([67]INPUT_Date.Etc!$B$4,[67]CFG!$T$4:$AI$52,9, FALSE)</f>
        <v>29717</v>
      </c>
      <c r="M8" s="22">
        <f>+HLOOKUP([67]INPUT_Date.Etc!$B$4,[67]FPUNG!$T$4:$AI$116,9, FALSE)</f>
        <v>126256</v>
      </c>
      <c r="N8" s="22">
        <f>+HLOOKUP([67]INPUT_Date.Etc!$B$4,[67]Electric!$T$4:$AI$43,9, FALSE)</f>
        <v>22136</v>
      </c>
      <c r="O8" s="22">
        <v>0</v>
      </c>
    </row>
    <row r="9" spans="1:17" x14ac:dyDescent="0.3">
      <c r="A9" s="12" t="s">
        <v>18</v>
      </c>
      <c r="B9" s="22">
        <f>+HLOOKUP([67]INPUT_Date.Etc!$B$4,[67]Delaware!$A$4:$P$57,10, FALSE)</f>
        <v>292705</v>
      </c>
      <c r="C9" s="22">
        <f>+HLOOKUP([67]INPUT_Date.Etc!$B$4,[67]Maryland!$A$4:$P$57,10, FALSE)</f>
        <v>102536</v>
      </c>
      <c r="D9" s="22">
        <f>+HLOOKUP([67]INPUT_Date.Etc!$B$4,[67]WorcesterCounty!$A$4:$P$57,10, FALSE)</f>
        <v>33748</v>
      </c>
      <c r="E9" s="22">
        <f>+HLOOKUP([67]INPUT_Date.Etc!$B$4,[67]CFG!$A$4:$P$57,10, FALSE)</f>
        <v>443470.1528873308</v>
      </c>
      <c r="F9" s="22">
        <f>+HLOOKUP([67]INPUT_Date.Etc!$B$4,[67]FPUNG!$A$4:$P$116,10, FALSE)</f>
        <v>251956</v>
      </c>
      <c r="G9" s="22">
        <f>+HLOOKUP([67]INPUT_Date.Etc!$B$4,[67]Electric!$E$4:$P$57,10, FALSE)</f>
        <v>23465.699000000001</v>
      </c>
      <c r="H9" s="22">
        <f>+HLOOKUP([67]INPUT_Date.Etc!$B$4,[67]ESNG!$E$11:$P$15,3, FALSE)</f>
        <v>0</v>
      </c>
      <c r="I9" s="23"/>
      <c r="J9" s="22">
        <f>+HLOOKUP([67]INPUT_Date.Etc!$B$4,[67]Delaware!$T$4:$AI$52,10, FALSE)</f>
        <v>310181</v>
      </c>
      <c r="K9" s="22">
        <f>+HLOOKUP([67]INPUT_Date.Etc!$B$4,[67]Maryland!$T$4:$AI$52,10, FALSE)</f>
        <v>107771</v>
      </c>
      <c r="L9" s="22">
        <f>+HLOOKUP([67]INPUT_Date.Etc!$B$4,[67]CFG!$T$4:$AI$52,10, FALSE)</f>
        <v>122773</v>
      </c>
      <c r="M9" s="22">
        <f>+HLOOKUP([67]INPUT_Date.Etc!$B$4,[67]FPUNG!$T$4:$AI$116,10, FALSE)</f>
        <v>251632</v>
      </c>
      <c r="N9" s="22">
        <f>+HLOOKUP([67]INPUT_Date.Etc!$B$4,[67]Electric!$T$4:$AI$43,10, FALSE)</f>
        <v>23467</v>
      </c>
      <c r="O9" s="22">
        <v>0</v>
      </c>
    </row>
    <row r="10" spans="1:17" x14ac:dyDescent="0.3">
      <c r="A10" s="12" t="s">
        <v>19</v>
      </c>
      <c r="B10" s="22">
        <f>+HLOOKUP([67]INPUT_Date.Etc!$B$4,[67]Delaware!$A$4:$P$57,11, FALSE)</f>
        <v>279234</v>
      </c>
      <c r="C10" s="22">
        <f>+HLOOKUP([67]INPUT_Date.Etc!$B$4,[67]Maryland!$A$4:$P$57,11, FALSE)</f>
        <v>144315</v>
      </c>
      <c r="D10" s="22">
        <f>+HLOOKUP([67]INPUT_Date.Etc!$B$4,[67]WorcesterCounty!$A$4:$P$57,11, FALSE)</f>
        <v>7843</v>
      </c>
      <c r="E10" s="22">
        <f>+HLOOKUP([67]INPUT_Date.Etc!$B$4,[67]CFG!$A$4:$P$57,11, FALSE)</f>
        <v>964284.74048105953</v>
      </c>
      <c r="F10" s="22">
        <f>+HLOOKUP([67]INPUT_Date.Etc!$B$4,[67]FPUNG!$A$4:$P$116,11, FALSE)</f>
        <v>315099</v>
      </c>
      <c r="G10" s="22">
        <f>+HLOOKUP([67]INPUT_Date.Etc!$B$4,[67]Electric!$E$4:$P$57,11, FALSE)</f>
        <v>1170</v>
      </c>
      <c r="H10" s="22">
        <v>0</v>
      </c>
      <c r="I10" s="23"/>
      <c r="J10" s="22">
        <f>+HLOOKUP([67]INPUT_Date.Etc!$B$4,[67]Delaware!$T$4:$AI$52,11, FALSE)</f>
        <v>270664</v>
      </c>
      <c r="K10" s="22">
        <f>+HLOOKUP([67]INPUT_Date.Etc!$B$4,[67]Maryland!$T$4:$AI$52,11, FALSE)</f>
        <v>129946</v>
      </c>
      <c r="L10" s="22">
        <f>+HLOOKUP([67]INPUT_Date.Etc!$B$4,[67]CFG!$T$4:$AI$52,11, FALSE)</f>
        <v>1133651</v>
      </c>
      <c r="M10" s="22">
        <f>+HLOOKUP([67]INPUT_Date.Etc!$B$4,[67]FPUNG!$T$4:$AI$116,11, FALSE)</f>
        <v>383434</v>
      </c>
      <c r="N10" s="22">
        <f>+HLOOKUP([67]INPUT_Date.Etc!$B$4,[67]Electric!$T$4:$AI$43,11, FALSE)</f>
        <v>1620</v>
      </c>
      <c r="O10" s="22">
        <v>0</v>
      </c>
    </row>
    <row r="11" spans="1:17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+HLOOKUP([67]INPUT_Date.Etc!$B$4,[67]ESNG!$A$4:$P$71,11,FALSE)</f>
        <v>4421846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>+HLOOKUP([67]INPUT_Date.Etc!$B$4,[67]ESNG!$T$4:$AI$58,11, FALSE)</f>
        <v>3432405</v>
      </c>
    </row>
    <row r="12" spans="1:17" x14ac:dyDescent="0.3">
      <c r="A12" s="12" t="s">
        <v>21</v>
      </c>
      <c r="B12" s="22">
        <f>+HLOOKUP([67]INPUT_Date.Etc!$B$4,[67]Delaware!$A$4:$P$57,12, FALSE)</f>
        <v>4414</v>
      </c>
      <c r="C12" s="22">
        <f>+HLOOKUP([67]INPUT_Date.Etc!$B$4,[67]Maryland!$A$4:$P$57,12, FALSE)</f>
        <v>0</v>
      </c>
      <c r="D12" s="22">
        <f>+HLOOKUP([67]INPUT_Date.Etc!$B$4,[67]WorcesterCounty!$A$4:$P$57,12, FALSE)</f>
        <v>0</v>
      </c>
      <c r="E12" s="22">
        <f>+HLOOKUP([67]INPUT_Date.Etc!$B$4,[67]CFG!$A$4:$P$57,12, FALSE)</f>
        <v>0</v>
      </c>
      <c r="F12" s="22">
        <f>+HLOOKUP([67]INPUT_Date.Etc!$B$4,[67]FPUNG!$A$4:$P$116,12, FALSE)</f>
        <v>45635.832521908473</v>
      </c>
      <c r="G12" s="22">
        <f>+HLOOKUP([67]INPUT_Date.Etc!$B$4,[67]Electric!$E$4:$P$57,12, FALSE)</f>
        <v>786.43399999999997</v>
      </c>
      <c r="H12" s="22">
        <f>+HLOOKUP([67]INPUT_Date.Etc!$B$4,[67]ESNG!$A$4:$P$71,12,FALSE)</f>
        <v>128383</v>
      </c>
      <c r="I12" s="23"/>
      <c r="J12" s="22">
        <f>+HLOOKUP([67]INPUT_Date.Etc!$B$4,[67]Delaware!$T$4:$AI$52,12, FALSE)</f>
        <v>3904</v>
      </c>
      <c r="K12" s="22">
        <f>+HLOOKUP([67]INPUT_Date.Etc!$B$4,[67]Maryland!$T$4:$AI$52,12, FALSE)</f>
        <v>0</v>
      </c>
      <c r="L12" s="22">
        <f>+HLOOKUP([67]INPUT_Date.Etc!$B$4,[67]CFG!$T$4:$AI$52,12, FALSE)</f>
        <v>0</v>
      </c>
      <c r="M12" s="22">
        <f>+HLOOKUP([67]INPUT_Date.Etc!$B$4,[67]FPUNG!$T$4:$AI$116,12, FALSE)</f>
        <v>37434.27458617332</v>
      </c>
      <c r="N12" s="22">
        <f>+HLOOKUP([67]INPUT_Date.Etc!$B$4,[67]Electric!$T$4:$AI$43,12, FALSE)</f>
        <v>2715</v>
      </c>
      <c r="O12" s="22">
        <f>+HLOOKUP([67]INPUT_Date.Etc!$B$4,[67]ESNG!$T$4:$AI$58,12, FALSE)</f>
        <v>162436</v>
      </c>
    </row>
    <row r="13" spans="1:17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+HLOOKUP([67]INPUT_Date.Etc!$B$4,[67]ESNG!$A$4:$P$71,13,FALSE)</f>
        <v>-1347920</v>
      </c>
      <c r="I13" s="23"/>
      <c r="J13" s="22">
        <f>+[67]Delaware!V10</f>
        <v>0</v>
      </c>
      <c r="K13" s="22">
        <f>+[67]Maryland!W10</f>
        <v>0</v>
      </c>
      <c r="L13" s="22">
        <f>+[67]CFG!X10</f>
        <v>0</v>
      </c>
      <c r="M13" s="24">
        <v>0</v>
      </c>
      <c r="N13" s="22">
        <v>0</v>
      </c>
      <c r="O13" s="22">
        <f>+HLOOKUP([67]INPUT_Date.Etc!$B$4,[67]ESNG!$T$4:$AI$58,13, FALSE)</f>
        <v>-1286620</v>
      </c>
    </row>
    <row r="14" spans="1:17" ht="15" thickBot="1" x14ac:dyDescent="0.35">
      <c r="A14" s="72" t="s">
        <v>180</v>
      </c>
      <c r="B14" s="27">
        <f t="shared" ref="B14:H14" si="0">SUM(B8:B13)</f>
        <v>933270</v>
      </c>
      <c r="C14" s="27">
        <f t="shared" si="0"/>
        <v>317948</v>
      </c>
      <c r="D14" s="27">
        <f t="shared" si="0"/>
        <v>75841</v>
      </c>
      <c r="E14" s="27">
        <f t="shared" si="0"/>
        <v>1447542.0196708541</v>
      </c>
      <c r="F14" s="27">
        <f t="shared" si="0"/>
        <v>764931.83252190845</v>
      </c>
      <c r="G14" s="27">
        <f t="shared" si="0"/>
        <v>50332.928</v>
      </c>
      <c r="H14" s="27">
        <f t="shared" si="0"/>
        <v>3202309</v>
      </c>
      <c r="I14" s="23"/>
      <c r="J14" s="27">
        <f t="shared" ref="J14:O14" si="1">SUM(J8:J13)</f>
        <v>939600</v>
      </c>
      <c r="K14" s="27">
        <f t="shared" si="1"/>
        <v>312253</v>
      </c>
      <c r="L14" s="27">
        <f t="shared" si="1"/>
        <v>1286141</v>
      </c>
      <c r="M14" s="27">
        <f t="shared" si="1"/>
        <v>798756.27458617336</v>
      </c>
      <c r="N14" s="27">
        <f t="shared" si="1"/>
        <v>49938</v>
      </c>
      <c r="O14" s="27">
        <f t="shared" si="1"/>
        <v>2308221</v>
      </c>
    </row>
    <row r="15" spans="1:17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7" x14ac:dyDescent="0.3">
      <c r="A17" s="10"/>
      <c r="B17" s="28"/>
      <c r="C17" s="15"/>
      <c r="D17" s="15" t="str">
        <f>+VLOOKUP([67]INPUT_Date.Etc!$B$4,[67]INPUT_Date.Etc!$A$14:$P$25,[67]INPUT_Date.Etc!$O$12)</f>
        <v>Volume for the Twelve Months ended December 31, 2014</v>
      </c>
      <c r="E17" s="74"/>
      <c r="F17" s="19"/>
      <c r="G17" s="19"/>
      <c r="H17" s="19"/>
      <c r="I17" s="75"/>
      <c r="J17" s="23"/>
      <c r="K17" s="15" t="str">
        <f>+VLOOKUP([67]INPUT_Date.Etc!$B$4,[67]INPUT_Date.Etc!$A$14:$P$25,[67]INPUT_Date.Etc!$P$12)</f>
        <v>Volume for the Twelve Months ended December 31, 2013</v>
      </c>
      <c r="L17" s="28"/>
      <c r="M17" s="28"/>
      <c r="N17" s="28"/>
      <c r="O17" s="23"/>
    </row>
    <row r="18" spans="1:17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  <c r="P18" s="12"/>
      <c r="Q18" s="12"/>
    </row>
    <row r="19" spans="1:17" x14ac:dyDescent="0.3">
      <c r="A19" s="12" t="s">
        <v>17</v>
      </c>
      <c r="B19" s="22">
        <f>+HLOOKUP([67]INPUT_Date.Etc!$B$4,[67]Delaware!$A$4:$P$57,38, FALSE)</f>
        <v>2696882</v>
      </c>
      <c r="C19" s="22">
        <f>+HLOOKUP([67]INPUT_Date.Etc!$B$4,[67]Maryland!$A$4:$P$57,38, FALSE)</f>
        <v>563905</v>
      </c>
      <c r="D19" s="22">
        <f>+HLOOKUP([67]INPUT_Date.Etc!$B$4,[67]WorcesterCounty!$A$4:$P$57,38, FALSE)</f>
        <v>288689</v>
      </c>
      <c r="E19" s="22">
        <f>+HLOOKUP([67]INPUT_Date.Etc!$B$4,[67]CFG!$A$4:$P$57,38, FALSE)</f>
        <v>333709.19875352998</v>
      </c>
      <c r="F19" s="22">
        <f>+HLOOKUP([67]INPUT_Date.Etc!$B$4,[67]FPUNG!$A$4:$P$116,96, FALSE)</f>
        <v>1248047.266335573</v>
      </c>
      <c r="G19" s="22">
        <f>+HLOOKUP([67]INPUT_Date.Etc!$B$4,[67]Electric!$E$4:$P$57,32, FALSE)</f>
        <v>310218.27600000001</v>
      </c>
      <c r="H19" s="22">
        <f>+HLOOKUP([67]INPUT_Date.Etc!$B$4,[67]ESNG!$E$11:$P$15,2, FALSE)</f>
        <v>0</v>
      </c>
      <c r="I19" s="23"/>
      <c r="J19" s="22">
        <f>+HLOOKUP([67]INPUT_Date.Etc!$B$4,[67]Delaware!$T$4:$AI$52,38, FALSE)</f>
        <v>2426256</v>
      </c>
      <c r="K19" s="22">
        <f>+HLOOKUP([67]INPUT_Date.Etc!$B$4,[67]Maryland!$T$4:$AI$52,38, FALSE)</f>
        <v>533386</v>
      </c>
      <c r="L19" s="22">
        <f>+HLOOKUP([67]INPUT_Date.Etc!$B$4,[67]CFG!$T$4:$AI$52,38, FALSE)</f>
        <v>316364</v>
      </c>
      <c r="M19" s="22">
        <f>+HLOOKUP([67]INPUT_Date.Etc!$B$4,[67]FPUNG!$T$4:$AI$116,96, FALSE)</f>
        <v>1185957</v>
      </c>
      <c r="N19" s="22">
        <f>+HLOOKUP([67]INPUT_Date.Etc!$B$4,[67]Electric!$T$4:$AI$43,32, FALSE)</f>
        <v>289745</v>
      </c>
      <c r="O19" s="22">
        <v>0</v>
      </c>
    </row>
    <row r="20" spans="1:17" x14ac:dyDescent="0.3">
      <c r="A20" s="12" t="s">
        <v>18</v>
      </c>
      <c r="B20" s="22">
        <f>+HLOOKUP([67]INPUT_Date.Etc!$B$4,[67]Delaware!$A$4:$P$57,39, FALSE)</f>
        <v>2303858</v>
      </c>
      <c r="C20" s="22">
        <f>+HLOOKUP([67]INPUT_Date.Etc!$B$4,[67]Maryland!$A$4:$P$57,39, FALSE)</f>
        <v>869825</v>
      </c>
      <c r="D20" s="22">
        <f>+HLOOKUP([67]INPUT_Date.Etc!$B$4,[67]WorcesterCounty!$A$4:$P$57,39, FALSE)</f>
        <v>393583</v>
      </c>
      <c r="E20" s="22">
        <f>+HLOOKUP([67]INPUT_Date.Etc!$B$4,[67]CFG!$A$4:$P$57,39, FALSE)</f>
        <v>1672129.6133995519</v>
      </c>
      <c r="F20" s="22">
        <f>+HLOOKUP([67]INPUT_Date.Etc!$B$4,[67]FPUNG!$A$4:$P$116,97, FALSE)</f>
        <v>2528529.3482325445</v>
      </c>
      <c r="G20" s="22">
        <f>+HLOOKUP([67]INPUT_Date.Etc!$B$4,[67]Electric!$E$4:$P$57,33, FALSE)</f>
        <v>312557.49200000003</v>
      </c>
      <c r="H20" s="22">
        <f>+HLOOKUP([67]INPUT_Date.Etc!$B$4,[67]ESNG!$E$11:$P$15,3, FALSE)</f>
        <v>0</v>
      </c>
      <c r="I20" s="23"/>
      <c r="J20" s="22">
        <f>+HLOOKUP([67]INPUT_Date.Etc!$B$4,[67]Delaware!$T$4:$AI$52,39, FALSE)</f>
        <v>2190271</v>
      </c>
      <c r="K20" s="22">
        <f>+HLOOKUP([67]INPUT_Date.Etc!$B$4,[67]Maryland!$T$4:$AI$52,39, FALSE)</f>
        <v>836749</v>
      </c>
      <c r="L20" s="22">
        <f>+HLOOKUP([67]INPUT_Date.Etc!$B$4,[67]CFG!$T$4:$AI$52,39, FALSE)</f>
        <v>1334510</v>
      </c>
      <c r="M20" s="22">
        <f>+HLOOKUP([67]INPUT_Date.Etc!$B$4,[67]FPUNG!$T$4:$AI$116,97, FALSE)</f>
        <v>2664188</v>
      </c>
      <c r="N20" s="22">
        <f>+HLOOKUP([67]INPUT_Date.Etc!$B$4,[67]Electric!$T$4:$AI$43,33, FALSE)</f>
        <v>309813</v>
      </c>
      <c r="O20" s="22">
        <v>0</v>
      </c>
    </row>
    <row r="21" spans="1:17" x14ac:dyDescent="0.3">
      <c r="A21" s="12" t="s">
        <v>19</v>
      </c>
      <c r="B21" s="22">
        <f>+HLOOKUP([67]INPUT_Date.Etc!$B$4,[67]Delaware!$A$4:$P$57,40, FALSE)</f>
        <v>2750438</v>
      </c>
      <c r="C21" s="22">
        <f>+HLOOKUP([67]INPUT_Date.Etc!$B$4,[67]Maryland!$A$4:$P$57,40, FALSE)</f>
        <v>1374405</v>
      </c>
      <c r="D21" s="22">
        <f>+HLOOKUP([67]INPUT_Date.Etc!$B$4,[67]WorcesterCounty!$A$4:$P$57,40, FALSE)</f>
        <v>68501</v>
      </c>
      <c r="E21" s="22">
        <f>+HLOOKUP([67]INPUT_Date.Etc!$B$4,[67]CFG!$A$4:$P$57,40, FALSE)</f>
        <v>12287960.11305872</v>
      </c>
      <c r="F21" s="22">
        <f>+HLOOKUP([67]INPUT_Date.Etc!$B$4,[67]FPUNG!$A$4:$P$116,98, FALSE)</f>
        <v>3749922.618658097</v>
      </c>
      <c r="G21" s="22">
        <f>+HLOOKUP([67]INPUT_Date.Etc!$B$4,[67]Electric!$E$4:$P$57,34, FALSE)</f>
        <v>29090</v>
      </c>
      <c r="H21" s="22">
        <v>0</v>
      </c>
      <c r="I21" s="23"/>
      <c r="J21" s="22">
        <f>+HLOOKUP([67]INPUT_Date.Etc!$B$4,[67]Delaware!$T$4:$AI$52,40, FALSE)</f>
        <v>2655442</v>
      </c>
      <c r="K21" s="22">
        <f>+HLOOKUP([67]INPUT_Date.Etc!$B$4,[67]Maryland!$T$4:$AI$52,40, FALSE)</f>
        <v>1272782</v>
      </c>
      <c r="L21" s="22">
        <f>+HLOOKUP([67]INPUT_Date.Etc!$B$4,[67]CFG!$T$4:$AI$52,40, FALSE)</f>
        <v>13102297</v>
      </c>
      <c r="M21" s="22">
        <f>+HLOOKUP([67]INPUT_Date.Etc!$B$4,[67]FPUNG!$T$4:$AI$116,98, FALSE)</f>
        <v>3618378</v>
      </c>
      <c r="N21" s="22">
        <f>+HLOOKUP([67]INPUT_Date.Etc!$B$4,[67]Electric!$T$4:$AI$43,34, FALSE)</f>
        <v>31120</v>
      </c>
      <c r="O21" s="22">
        <v>0</v>
      </c>
    </row>
    <row r="22" spans="1:17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+HLOOKUP([67]INPUT_Date.Etc!$B$4,[67]ESNG!$A$4:$P$71,48,FALSE)</f>
        <v>43117402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f>+HLOOKUP([67]INPUT_Date.Etc!$B$4,[67]ESNG!$T$4:$AI$58,48, FALSE)</f>
        <v>32472109</v>
      </c>
    </row>
    <row r="23" spans="1:17" x14ac:dyDescent="0.3">
      <c r="A23" s="12" t="s">
        <v>21</v>
      </c>
      <c r="B23" s="22">
        <f>+HLOOKUP([67]INPUT_Date.Etc!$B$4,[67]Delaware!$A$4:$P$57,41, FALSE)</f>
        <v>70654</v>
      </c>
      <c r="C23" s="22">
        <f>+HLOOKUP([67]INPUT_Date.Etc!$B$4,[67]Maryland!$A$4:$P$57,41, FALSE)</f>
        <v>0</v>
      </c>
      <c r="D23" s="22">
        <f>+HLOOKUP([67]INPUT_Date.Etc!$B$4,[67]WorcesterCounty!$A$4:$P$57,41, FALSE)</f>
        <v>0</v>
      </c>
      <c r="E23" s="22">
        <f>+HLOOKUP([67]INPUT_Date.Etc!$B$4,[67]CFG!$A$4:$P$57,41, FALSE)</f>
        <v>0</v>
      </c>
      <c r="F23" s="22">
        <f>+HLOOKUP([67]INPUT_Date.Etc!$B$4,[67]FPUNG!$A$4:$P$116,99, FALSE)</f>
        <v>33546.923076923085</v>
      </c>
      <c r="G23" s="22">
        <f>+HLOOKUP([67]INPUT_Date.Etc!$B$4,[67]Electric!$E$4:$P$57,35, FALSE)</f>
        <v>-8532.7022000000015</v>
      </c>
      <c r="H23" s="22">
        <f>+HLOOKUP([67]INPUT_Date.Etc!$B$4,[67]ESNG!$A$4:$P$71,49,FALSE)</f>
        <v>1599941</v>
      </c>
      <c r="I23" s="23"/>
      <c r="J23" s="22">
        <f>+HLOOKUP([67]INPUT_Date.Etc!$B$4,[67]Delaware!$T$4:$AI$52,41, FALSE)</f>
        <v>65245</v>
      </c>
      <c r="K23" s="22">
        <f>+HLOOKUP([67]INPUT_Date.Etc!$B$4,[67]Maryland!$T$4:$AI$52,41, FALSE)</f>
        <v>0</v>
      </c>
      <c r="L23" s="22">
        <f>+HLOOKUP([67]INPUT_Date.Etc!$B$4,[67]CFG!$T$4:$AI$52,41, FALSE)</f>
        <v>0</v>
      </c>
      <c r="M23" s="22">
        <f>+HLOOKUP([67]INPUT_Date.Etc!$B$4,[67]FPUNG!$T$4:$AI$116,99, FALSE)</f>
        <v>-79582.278481012676</v>
      </c>
      <c r="N23" s="22">
        <f>+HLOOKUP([67]INPUT_Date.Etc!$B$4,[67]Electric!$T$4:$AI$43,35, FALSE)</f>
        <v>18347</v>
      </c>
      <c r="O23" s="22">
        <f>+HLOOKUP([67]INPUT_Date.Etc!$B$4,[67]ESNG!$T$4:$AI$58,49, FALSE)</f>
        <v>3268023</v>
      </c>
    </row>
    <row r="24" spans="1:17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+HLOOKUP([67]INPUT_Date.Etc!$B$4,[67]ESNG!$A$4:$P$71,50,FALSE)</f>
        <v>-11053974</v>
      </c>
      <c r="I24" s="23"/>
      <c r="J24" s="22">
        <v>0</v>
      </c>
      <c r="K24" s="22">
        <v>0</v>
      </c>
      <c r="L24" s="22">
        <v>0</v>
      </c>
      <c r="M24" s="24">
        <v>0</v>
      </c>
      <c r="N24" s="22">
        <v>0</v>
      </c>
      <c r="O24" s="22">
        <f>+HLOOKUP([67]INPUT_Date.Etc!$B$4,[67]ESNG!$T$4:$AI$58,50, FALSE)</f>
        <v>-10258084</v>
      </c>
    </row>
    <row r="25" spans="1:17" ht="15" thickBot="1" x14ac:dyDescent="0.35">
      <c r="A25" s="72" t="s">
        <v>180</v>
      </c>
      <c r="B25" s="27">
        <f t="shared" ref="B25:H25" si="2">SUM(B19:B24)</f>
        <v>7821832</v>
      </c>
      <c r="C25" s="27">
        <f t="shared" si="2"/>
        <v>2808135</v>
      </c>
      <c r="D25" s="27">
        <f t="shared" si="2"/>
        <v>750773</v>
      </c>
      <c r="E25" s="27">
        <f t="shared" si="2"/>
        <v>14293798.925211802</v>
      </c>
      <c r="F25" s="27">
        <f t="shared" si="2"/>
        <v>7560046.1563031375</v>
      </c>
      <c r="G25" s="27">
        <f t="shared" si="2"/>
        <v>643333.06579999998</v>
      </c>
      <c r="H25" s="27">
        <f t="shared" si="2"/>
        <v>33663369</v>
      </c>
      <c r="I25" s="23"/>
      <c r="J25" s="27">
        <f t="shared" ref="J25:O25" si="3">SUM(J19:J24)</f>
        <v>7337214</v>
      </c>
      <c r="K25" s="27">
        <f t="shared" si="3"/>
        <v>2642917</v>
      </c>
      <c r="L25" s="27">
        <f t="shared" si="3"/>
        <v>14753171</v>
      </c>
      <c r="M25" s="27">
        <f t="shared" si="3"/>
        <v>7388940.7215189878</v>
      </c>
      <c r="N25" s="27">
        <f t="shared" si="3"/>
        <v>649025</v>
      </c>
      <c r="O25" s="27">
        <f t="shared" si="3"/>
        <v>25482048</v>
      </c>
    </row>
    <row r="26" spans="1:17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8"/>
      <c r="M26" s="78"/>
      <c r="N26" s="78"/>
      <c r="O26" s="78"/>
    </row>
    <row r="27" spans="1:17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8"/>
      <c r="M27" s="78"/>
      <c r="N27" s="78"/>
      <c r="O27" s="78"/>
    </row>
    <row r="28" spans="1:17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8"/>
      <c r="M28" s="78"/>
      <c r="N28" s="78"/>
      <c r="O28" s="78"/>
    </row>
    <row r="29" spans="1:17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8"/>
      <c r="M29" s="78"/>
      <c r="N29" s="78"/>
      <c r="O29" s="78"/>
    </row>
    <row r="30" spans="1:17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</row>
  </sheetData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2"/>
  <sheetViews>
    <sheetView zoomScale="98" zoomScaleNormal="98" workbookViewId="0">
      <selection activeCell="H6" sqref="H6"/>
    </sheetView>
  </sheetViews>
  <sheetFormatPr defaultColWidth="9.109375" defaultRowHeight="13.2" x14ac:dyDescent="0.25"/>
  <cols>
    <col min="1" max="1" width="27.6640625" style="12" bestFit="1" customWidth="1"/>
    <col min="2" max="3" width="13.44140625" style="12" customWidth="1"/>
    <col min="4" max="4" width="13.44140625" style="31" customWidth="1"/>
    <col min="5" max="7" width="13.44140625" style="12" customWidth="1"/>
    <col min="8" max="8" width="3.6640625" style="10" customWidth="1"/>
    <col min="9" max="14" width="13.44140625" style="12" customWidth="1"/>
    <col min="15" max="16384" width="9.109375" style="12"/>
  </cols>
  <sheetData>
    <row r="1" spans="1:16" s="5" customFormat="1" ht="16.2" x14ac:dyDescent="0.4">
      <c r="A1" s="4"/>
      <c r="E1" s="6"/>
      <c r="F1" s="7" t="s">
        <v>6</v>
      </c>
      <c r="H1" s="8"/>
    </row>
    <row r="2" spans="1:16" s="5" customFormat="1" ht="16.2" x14ac:dyDescent="0.4">
      <c r="A2" s="4"/>
      <c r="B2" s="9"/>
      <c r="E2" s="6"/>
      <c r="F2" s="7" t="s">
        <v>7</v>
      </c>
      <c r="H2" s="8"/>
    </row>
    <row r="3" spans="1:16" ht="16.2" x14ac:dyDescent="0.4">
      <c r="A3" s="10"/>
      <c r="B3" s="10"/>
      <c r="C3" s="11"/>
      <c r="D3" s="12"/>
      <c r="E3" s="7"/>
      <c r="F3" s="7" t="s">
        <v>33</v>
      </c>
      <c r="G3" s="10"/>
      <c r="I3" s="13"/>
      <c r="J3" s="10"/>
      <c r="K3" s="11"/>
      <c r="L3" s="10"/>
      <c r="M3" s="10"/>
      <c r="N3" s="10"/>
    </row>
    <row r="4" spans="1:16" ht="16.2" x14ac:dyDescent="0.4">
      <c r="A4" s="10"/>
      <c r="B4" s="10"/>
      <c r="C4" s="11"/>
      <c r="D4" s="7"/>
      <c r="E4" s="7"/>
      <c r="F4" s="10"/>
      <c r="G4" s="10"/>
      <c r="I4" s="13"/>
      <c r="J4" s="10"/>
      <c r="K4" s="11"/>
      <c r="L4" s="10"/>
      <c r="M4" s="10"/>
      <c r="N4" s="10"/>
    </row>
    <row r="5" spans="1:16" s="10" customFormat="1" x14ac:dyDescent="0.25">
      <c r="D5" s="14"/>
    </row>
    <row r="6" spans="1:16" s="10" customFormat="1" x14ac:dyDescent="0.25">
      <c r="C6" s="15" t="s">
        <v>10</v>
      </c>
      <c r="D6" s="16"/>
      <c r="E6" s="17"/>
      <c r="J6" s="15" t="s">
        <v>34</v>
      </c>
      <c r="K6" s="16"/>
      <c r="L6" s="17"/>
    </row>
    <row r="7" spans="1:16" ht="40.200000000000003" x14ac:dyDescent="0.3">
      <c r="A7" s="18"/>
      <c r="B7" s="19" t="s">
        <v>11</v>
      </c>
      <c r="C7" s="19" t="s">
        <v>12</v>
      </c>
      <c r="D7" s="20" t="s">
        <v>13</v>
      </c>
      <c r="E7" s="19" t="s">
        <v>14</v>
      </c>
      <c r="F7" s="19" t="s">
        <v>15</v>
      </c>
      <c r="G7" s="19" t="s">
        <v>16</v>
      </c>
      <c r="H7" s="21"/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</row>
    <row r="8" spans="1:16" x14ac:dyDescent="0.25">
      <c r="A8" s="12" t="s">
        <v>17</v>
      </c>
      <c r="B8" s="22">
        <f>+[53]Delaware!O5</f>
        <v>38741</v>
      </c>
      <c r="C8" s="23">
        <f>+[53]Maryland!O5</f>
        <v>10873</v>
      </c>
      <c r="D8" s="24">
        <f>+[53]CFG!O5</f>
        <v>13738</v>
      </c>
      <c r="E8" s="23">
        <f>+'[53]FPU-NG'!O5</f>
        <v>48405</v>
      </c>
      <c r="F8" s="23">
        <f>+[53]Electric!O5</f>
        <v>23695</v>
      </c>
      <c r="G8" s="23">
        <f>+[53]ESNG!O7</f>
        <v>0</v>
      </c>
      <c r="H8" s="23"/>
      <c r="I8" s="22">
        <f>+[53]Delaware!AH5</f>
        <v>37923</v>
      </c>
      <c r="J8" s="25">
        <f>+[53]Maryland!AH5</f>
        <v>10822</v>
      </c>
      <c r="K8" s="23">
        <f>+[53]CFG!AH5</f>
        <v>13522</v>
      </c>
      <c r="L8" s="23">
        <f>'[53]FPU-NG'!AH43</f>
        <v>47682</v>
      </c>
      <c r="M8" s="23">
        <f>+[53]Electric!AH5</f>
        <v>23578</v>
      </c>
      <c r="N8" s="23">
        <v>0</v>
      </c>
    </row>
    <row r="9" spans="1:16" x14ac:dyDescent="0.25">
      <c r="A9" s="12" t="s">
        <v>18</v>
      </c>
      <c r="B9" s="22">
        <f>+[53]Delaware!O6</f>
        <v>3481</v>
      </c>
      <c r="C9" s="23">
        <f>+[53]Maryland!O6</f>
        <v>1755</v>
      </c>
      <c r="D9" s="24">
        <f>+[53]CFG!O6</f>
        <v>1227</v>
      </c>
      <c r="E9" s="23">
        <f>+'[53]FPU-NG'!O6</f>
        <v>4576</v>
      </c>
      <c r="F9" s="23">
        <f>+[53]Electric!O6</f>
        <v>7402</v>
      </c>
      <c r="G9" s="23">
        <f>+[53]ESNG!O8</f>
        <v>0</v>
      </c>
      <c r="H9" s="23"/>
      <c r="I9" s="22">
        <f>+[53]Delaware!AH6</f>
        <v>3451</v>
      </c>
      <c r="J9" s="25">
        <f>+[53]Maryland!AH6</f>
        <v>1781</v>
      </c>
      <c r="K9" s="23">
        <f>+[53]CFG!AH6</f>
        <v>1169</v>
      </c>
      <c r="L9" s="23">
        <f>'[53]FPU-NG'!AH44</f>
        <v>4544</v>
      </c>
      <c r="M9" s="23">
        <f>+[53]Electric!AH6</f>
        <v>7360</v>
      </c>
      <c r="N9" s="23">
        <v>0</v>
      </c>
    </row>
    <row r="10" spans="1:16" x14ac:dyDescent="0.25">
      <c r="A10" s="12" t="s">
        <v>19</v>
      </c>
      <c r="B10" s="22">
        <f>+[53]Delaware!O7</f>
        <v>64</v>
      </c>
      <c r="C10" s="23">
        <f>+[53]Maryland!O7</f>
        <v>35</v>
      </c>
      <c r="D10" s="24">
        <f>+[53]CFG!O7</f>
        <v>59</v>
      </c>
      <c r="E10" s="23">
        <f>+'[53]FPU-NG'!O7</f>
        <v>705</v>
      </c>
      <c r="F10" s="23">
        <f>+[53]Electric!O7</f>
        <v>2</v>
      </c>
      <c r="G10" s="23">
        <f>+[53]ESNG!O9</f>
        <v>0</v>
      </c>
      <c r="H10" s="23"/>
      <c r="I10" s="22">
        <f>+[53]Delaware!AH7</f>
        <v>61</v>
      </c>
      <c r="J10" s="25">
        <f>+[53]Maryland!AH7</f>
        <v>31</v>
      </c>
      <c r="K10" s="23">
        <f>+[53]CFG!AH7</f>
        <v>59</v>
      </c>
      <c r="L10" s="23">
        <f>'[53]FPU-NG'!AH45</f>
        <v>660</v>
      </c>
      <c r="M10" s="23">
        <f>+[53]Electric!AH7</f>
        <v>2</v>
      </c>
      <c r="N10" s="23">
        <v>0</v>
      </c>
    </row>
    <row r="11" spans="1:16" x14ac:dyDescent="0.25">
      <c r="A11" s="12" t="s">
        <v>20</v>
      </c>
      <c r="B11" s="22">
        <v>0</v>
      </c>
      <c r="C11" s="23">
        <f>+[53]Maryland!L8</f>
        <v>0</v>
      </c>
      <c r="D11" s="24">
        <f>+[53]CFG!L8</f>
        <v>0</v>
      </c>
      <c r="E11" s="23">
        <f>+'[53]FPU-NG'!O8</f>
        <v>0</v>
      </c>
      <c r="F11" s="23">
        <f>+[53]Electric!M8</f>
        <v>0</v>
      </c>
      <c r="G11" s="23">
        <f>+[53]ESNG!O10</f>
        <v>18</v>
      </c>
      <c r="H11" s="23"/>
      <c r="I11" s="25">
        <v>0</v>
      </c>
      <c r="J11" s="25">
        <v>0</v>
      </c>
      <c r="K11" s="23">
        <v>0</v>
      </c>
      <c r="L11" s="23">
        <v>0</v>
      </c>
      <c r="M11" s="23">
        <f>+[53]Electric!AF8</f>
        <v>0</v>
      </c>
      <c r="N11" s="23">
        <f>+[53]ESNG!AH10</f>
        <v>17</v>
      </c>
    </row>
    <row r="12" spans="1:16" x14ac:dyDescent="0.25">
      <c r="A12" s="10" t="s">
        <v>21</v>
      </c>
      <c r="B12" s="22">
        <f>+[53]Delaware!O8</f>
        <v>3</v>
      </c>
      <c r="C12" s="23">
        <v>0</v>
      </c>
      <c r="D12" s="24">
        <v>0</v>
      </c>
      <c r="E12" s="23">
        <f>+'[53]FPU-NG'!M9</f>
        <v>0</v>
      </c>
      <c r="F12" s="23">
        <f>+[53]Electric!M9</f>
        <v>0</v>
      </c>
      <c r="G12" s="23">
        <f>+[53]ESNG!O11</f>
        <v>0</v>
      </c>
      <c r="H12" s="23"/>
      <c r="I12" s="22">
        <f>+[53]Delaware!AH8</f>
        <v>6</v>
      </c>
      <c r="J12" s="25">
        <v>0</v>
      </c>
      <c r="K12" s="23">
        <v>0</v>
      </c>
      <c r="L12" s="23">
        <v>0</v>
      </c>
      <c r="M12" s="23">
        <f>+[53]Electric!AF9</f>
        <v>0</v>
      </c>
      <c r="N12" s="23">
        <v>0</v>
      </c>
      <c r="O12" s="10"/>
      <c r="P12" s="10"/>
    </row>
    <row r="13" spans="1:16" x14ac:dyDescent="0.25">
      <c r="A13" s="10" t="s">
        <v>22</v>
      </c>
      <c r="B13" s="22">
        <f>+[53]Delaware!M10</f>
        <v>0</v>
      </c>
      <c r="C13" s="23">
        <f>+[53]Maryland!M10</f>
        <v>0</v>
      </c>
      <c r="D13" s="24">
        <f>+[53]CFG!M10</f>
        <v>0</v>
      </c>
      <c r="E13" s="23">
        <v>0</v>
      </c>
      <c r="F13" s="23">
        <f>+[53]Electric!M10</f>
        <v>0</v>
      </c>
      <c r="G13" s="23">
        <f>+[53]ESNG!O12</f>
        <v>-2</v>
      </c>
      <c r="H13" s="23"/>
      <c r="I13" s="22">
        <v>0</v>
      </c>
      <c r="J13" s="25">
        <v>0</v>
      </c>
      <c r="K13" s="23">
        <v>0</v>
      </c>
      <c r="L13" s="23">
        <v>0</v>
      </c>
      <c r="M13" s="23">
        <f>+[53]Electric!AF10</f>
        <v>0</v>
      </c>
      <c r="N13" s="23">
        <f>+[53]ESNG!AH12</f>
        <v>-2</v>
      </c>
    </row>
    <row r="14" spans="1:16" ht="13.8" thickBot="1" x14ac:dyDescent="0.3">
      <c r="A14" s="26" t="s">
        <v>23</v>
      </c>
      <c r="B14" s="27">
        <f>SUM(B8:B13)</f>
        <v>42289</v>
      </c>
      <c r="C14" s="27">
        <f>SUM(C8:C13)</f>
        <v>12663</v>
      </c>
      <c r="D14" s="27">
        <f t="shared" ref="D14:G14" si="0">SUM(D8:D13)</f>
        <v>15024</v>
      </c>
      <c r="E14" s="27">
        <f t="shared" si="0"/>
        <v>53686</v>
      </c>
      <c r="F14" s="27">
        <f>SUM(F8:F13)</f>
        <v>31099</v>
      </c>
      <c r="G14" s="27">
        <f t="shared" si="0"/>
        <v>16</v>
      </c>
      <c r="H14" s="23"/>
      <c r="I14" s="27">
        <f t="shared" ref="I14" si="1">SUM(I8:I13)</f>
        <v>41441</v>
      </c>
      <c r="J14" s="27">
        <f>SUM(J8:J13)</f>
        <v>12634</v>
      </c>
      <c r="K14" s="27">
        <f>SUM(K8:K13)</f>
        <v>14750</v>
      </c>
      <c r="L14" s="27">
        <f>SUM(L8:L13)</f>
        <v>52886</v>
      </c>
      <c r="M14" s="27">
        <f>SUM(M8:M13)</f>
        <v>30940</v>
      </c>
      <c r="N14" s="27">
        <f>SUM(N8:N13)</f>
        <v>15</v>
      </c>
    </row>
    <row r="15" spans="1:16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6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5">
      <c r="A17" s="14"/>
      <c r="B17" s="23"/>
      <c r="C17" s="15" t="s">
        <v>25</v>
      </c>
      <c r="D17" s="28"/>
      <c r="E17" s="28"/>
      <c r="F17" s="28"/>
      <c r="G17" s="23"/>
      <c r="H17" s="23"/>
      <c r="I17" s="23"/>
      <c r="J17" s="15" t="s">
        <v>35</v>
      </c>
      <c r="K17" s="28"/>
      <c r="L17" s="28"/>
      <c r="M17" s="28"/>
      <c r="N17" s="23"/>
    </row>
    <row r="18" spans="1:14" ht="40.200000000000003" x14ac:dyDescent="0.3">
      <c r="A18" s="18"/>
      <c r="B18" s="19" t="s">
        <v>11</v>
      </c>
      <c r="C18" s="19" t="s">
        <v>12</v>
      </c>
      <c r="D18" s="20" t="s">
        <v>13</v>
      </c>
      <c r="E18" s="19" t="s">
        <v>14</v>
      </c>
      <c r="F18" s="19" t="s">
        <v>15</v>
      </c>
      <c r="G18" s="19" t="s">
        <v>16</v>
      </c>
      <c r="H18" s="21"/>
      <c r="I18" s="19" t="s">
        <v>11</v>
      </c>
      <c r="J18" s="19" t="s">
        <v>12</v>
      </c>
      <c r="K18" s="19" t="s">
        <v>13</v>
      </c>
      <c r="L18" s="19" t="s">
        <v>14</v>
      </c>
      <c r="M18" s="19" t="s">
        <v>15</v>
      </c>
      <c r="N18" s="19" t="s">
        <v>16</v>
      </c>
    </row>
    <row r="19" spans="1:14" x14ac:dyDescent="0.25">
      <c r="A19" s="12" t="s">
        <v>17</v>
      </c>
      <c r="B19" s="23">
        <f>+[53]Delaware!B5</f>
        <v>38012</v>
      </c>
      <c r="C19" s="23">
        <f>+[53]Maryland!B5</f>
        <v>10668</v>
      </c>
      <c r="D19" s="24">
        <f>+[53]CFG!B5</f>
        <v>13584</v>
      </c>
      <c r="E19" s="23">
        <f>+'[53]FPU-NG'!B5</f>
        <v>47941</v>
      </c>
      <c r="F19" s="23">
        <f>+[53]Electric!B5</f>
        <v>23598</v>
      </c>
      <c r="G19" s="23">
        <v>0</v>
      </c>
      <c r="H19" s="23"/>
      <c r="I19" s="23">
        <f>+[53]Delaware!U5</f>
        <v>37070</v>
      </c>
      <c r="J19" s="23">
        <f>+[53]Maryland!U5</f>
        <v>10568</v>
      </c>
      <c r="K19" s="23">
        <f>+[53]CFG!U5</f>
        <v>13427</v>
      </c>
      <c r="L19" s="23">
        <f>'[53]FPU-NG'!U43</f>
        <v>47626.400000000001</v>
      </c>
      <c r="M19" s="23">
        <f>+[53]Electric!U5</f>
        <v>23589</v>
      </c>
      <c r="N19" s="23">
        <v>0</v>
      </c>
    </row>
    <row r="20" spans="1:14" x14ac:dyDescent="0.25">
      <c r="A20" s="12" t="s">
        <v>18</v>
      </c>
      <c r="B20" s="23">
        <f>+[53]Delaware!B6</f>
        <v>3425</v>
      </c>
      <c r="C20" s="23">
        <f>+[53]Maryland!B6</f>
        <v>1746</v>
      </c>
      <c r="D20" s="24">
        <f>+[53]CFG!B6</f>
        <v>1185</v>
      </c>
      <c r="E20" s="23">
        <f>+'[53]FPU-NG'!B6</f>
        <v>4531</v>
      </c>
      <c r="F20" s="23">
        <f>+[53]Electric!B6</f>
        <v>7386</v>
      </c>
      <c r="G20" s="23">
        <v>0</v>
      </c>
      <c r="H20" s="23"/>
      <c r="I20" s="23">
        <f>+[53]Delaware!U6</f>
        <v>3379</v>
      </c>
      <c r="J20" s="23">
        <f>+[53]Maryland!U6</f>
        <v>1756</v>
      </c>
      <c r="K20" s="23">
        <f>+[53]CFG!U6</f>
        <v>1135</v>
      </c>
      <c r="L20" s="23">
        <f>'[53]FPU-NG'!U44</f>
        <v>4523.3999999999996</v>
      </c>
      <c r="M20" s="23">
        <f>+[53]Electric!U6</f>
        <v>7373</v>
      </c>
      <c r="N20" s="23">
        <v>0</v>
      </c>
    </row>
    <row r="21" spans="1:14" x14ac:dyDescent="0.25">
      <c r="A21" s="12" t="s">
        <v>26</v>
      </c>
      <c r="B21" s="23">
        <f>+[53]Delaware!B7</f>
        <v>61</v>
      </c>
      <c r="C21" s="23">
        <f>+[53]Maryland!B7</f>
        <v>32</v>
      </c>
      <c r="D21" s="24">
        <f>+[53]CFG!B7</f>
        <v>59</v>
      </c>
      <c r="E21" s="23">
        <f>+'[53]FPU-NG'!B7</f>
        <v>686</v>
      </c>
      <c r="F21" s="23">
        <f>+[53]Electric!B7</f>
        <v>2</v>
      </c>
      <c r="G21" s="23">
        <v>0</v>
      </c>
      <c r="H21" s="23"/>
      <c r="I21" s="23">
        <f>+[53]Delaware!U7</f>
        <v>54</v>
      </c>
      <c r="J21" s="23">
        <f>+[53]Maryland!U7</f>
        <v>31</v>
      </c>
      <c r="K21" s="23">
        <f>+[53]CFG!U7</f>
        <v>59</v>
      </c>
      <c r="L21" s="23">
        <f>'[53]FPU-NG'!U45</f>
        <v>597</v>
      </c>
      <c r="M21" s="23">
        <f>+[53]Electric!U7</f>
        <v>2</v>
      </c>
      <c r="N21" s="23">
        <v>0</v>
      </c>
    </row>
    <row r="22" spans="1:14" x14ac:dyDescent="0.25">
      <c r="A22" s="12" t="s">
        <v>20</v>
      </c>
      <c r="B22" s="23">
        <v>0</v>
      </c>
      <c r="C22" s="23">
        <f>+[53]Maryland!B8</f>
        <v>0</v>
      </c>
      <c r="D22" s="24">
        <f>+[53]CFG!B8</f>
        <v>0</v>
      </c>
      <c r="E22" s="23">
        <f>+'[53]FPU-NG'!B8</f>
        <v>0</v>
      </c>
      <c r="F22" s="23">
        <f>+[53]Electric!B9</f>
        <v>0</v>
      </c>
      <c r="G22" s="23">
        <f>+[53]ESNG!B10</f>
        <v>17</v>
      </c>
      <c r="H22" s="23"/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f>+[53]ESNG!U10</f>
        <v>17</v>
      </c>
    </row>
    <row r="23" spans="1:14" s="10" customFormat="1" x14ac:dyDescent="0.25">
      <c r="A23" s="10" t="s">
        <v>21</v>
      </c>
      <c r="B23" s="23">
        <f>+[53]Delaware!B8</f>
        <v>4</v>
      </c>
      <c r="C23" s="23">
        <v>0</v>
      </c>
      <c r="D23" s="24">
        <v>0</v>
      </c>
      <c r="E23" s="23">
        <f>+'[53]FPU-NG'!B9</f>
        <v>0</v>
      </c>
      <c r="F23" s="23">
        <v>0</v>
      </c>
      <c r="G23" s="23">
        <v>0</v>
      </c>
      <c r="H23" s="23"/>
      <c r="I23" s="23">
        <f>+[53]Delaware!U8</f>
        <v>5</v>
      </c>
      <c r="J23" s="23">
        <f>+[53]Maryland!U8</f>
        <v>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5">
      <c r="A24" s="10" t="s">
        <v>22</v>
      </c>
      <c r="B24" s="23">
        <v>0</v>
      </c>
      <c r="C24" s="23">
        <v>0</v>
      </c>
      <c r="D24" s="24">
        <f>+[53]CFG!B10</f>
        <v>0</v>
      </c>
      <c r="E24" s="23"/>
      <c r="F24" s="23">
        <v>0</v>
      </c>
      <c r="G24" s="23">
        <f>+[53]ESNG!B12</f>
        <v>-2</v>
      </c>
      <c r="H24" s="23"/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f>+[53]ESNG!U12</f>
        <v>-2</v>
      </c>
    </row>
    <row r="25" spans="1:14" ht="13.8" thickBot="1" x14ac:dyDescent="0.3">
      <c r="A25" s="26" t="s">
        <v>27</v>
      </c>
      <c r="B25" s="27">
        <f t="shared" ref="B25:G25" si="2">SUM(B19:B24)</f>
        <v>41502</v>
      </c>
      <c r="C25" s="27">
        <f t="shared" si="2"/>
        <v>12446</v>
      </c>
      <c r="D25" s="27">
        <f t="shared" si="2"/>
        <v>14828</v>
      </c>
      <c r="E25" s="27">
        <f t="shared" si="2"/>
        <v>53158</v>
      </c>
      <c r="F25" s="27">
        <f t="shared" si="2"/>
        <v>30986</v>
      </c>
      <c r="G25" s="27">
        <f t="shared" si="2"/>
        <v>15</v>
      </c>
      <c r="H25" s="23"/>
      <c r="I25" s="27">
        <f>SUM(I19:I24)</f>
        <v>40508</v>
      </c>
      <c r="J25" s="27">
        <f t="shared" ref="J25:N25" si="3">SUM(J19:J24)</f>
        <v>12355</v>
      </c>
      <c r="K25" s="27">
        <f t="shared" si="3"/>
        <v>14621</v>
      </c>
      <c r="L25" s="27">
        <f t="shared" si="3"/>
        <v>52746.8</v>
      </c>
      <c r="M25" s="27">
        <f t="shared" si="3"/>
        <v>30964</v>
      </c>
      <c r="N25" s="27">
        <f t="shared" si="3"/>
        <v>15</v>
      </c>
    </row>
    <row r="26" spans="1:14" x14ac:dyDescent="0.25">
      <c r="B26" s="22"/>
      <c r="C26" s="22"/>
      <c r="D26" s="29"/>
      <c r="E26" s="22"/>
      <c r="F26" s="22"/>
      <c r="G26" s="22"/>
      <c r="H26" s="23"/>
      <c r="I26" s="22"/>
      <c r="J26" s="22"/>
      <c r="K26" s="22"/>
      <c r="L26" s="22"/>
      <c r="M26" s="22"/>
      <c r="N26" s="22"/>
    </row>
    <row r="30" spans="1:14" ht="13.8" x14ac:dyDescent="0.3">
      <c r="A30" s="30"/>
    </row>
    <row r="31" spans="1:14" ht="13.8" x14ac:dyDescent="0.3">
      <c r="A31" s="30"/>
    </row>
    <row r="32" spans="1:14" x14ac:dyDescent="0.25">
      <c r="A32" s="10"/>
    </row>
  </sheetData>
  <pageMargins left="0.45" right="0.45" top="0.75" bottom="0.75" header="0.3" footer="0.3"/>
  <pageSetup scale="6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pane xSplit="1" ySplit="7" topLeftCell="B8" activePane="bottomRight" state="frozen"/>
      <selection activeCell="B10" sqref="B10"/>
      <selection pane="topRight" activeCell="B10" sqref="B10"/>
      <selection pane="bottomLeft" activeCell="B10" sqref="B10"/>
      <selection pane="bottomRight" activeCell="J22" sqref="J22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5" width="13.44140625" customWidth="1"/>
  </cols>
  <sheetData>
    <row r="1" spans="1:17" ht="16.2" x14ac:dyDescent="0.4">
      <c r="H1" s="7" t="s">
        <v>6</v>
      </c>
    </row>
    <row r="2" spans="1:17" ht="16.2" x14ac:dyDescent="0.4">
      <c r="A2" s="1"/>
      <c r="B2" s="66"/>
      <c r="E2" s="67"/>
      <c r="H2" s="7" t="s">
        <v>177</v>
      </c>
    </row>
    <row r="3" spans="1:17" ht="16.2" x14ac:dyDescent="0.4">
      <c r="A3" s="1"/>
      <c r="B3" s="66"/>
      <c r="E3" s="67"/>
      <c r="G3" s="7"/>
      <c r="H3" s="7" t="str">
        <f>+[68]RegCust!G3</f>
        <v>For the Twelve Months ended December 31, 2015 and 2014</v>
      </c>
    </row>
    <row r="4" spans="1:17" ht="16.2" x14ac:dyDescent="0.4">
      <c r="A4" s="1"/>
      <c r="B4" s="66"/>
      <c r="E4" s="67"/>
      <c r="G4" s="7"/>
      <c r="H4" s="7"/>
    </row>
    <row r="5" spans="1:17" ht="16.2" x14ac:dyDescent="0.4">
      <c r="A5" s="1"/>
      <c r="B5" s="66"/>
      <c r="E5" s="67"/>
      <c r="G5" s="7"/>
      <c r="H5" s="7"/>
    </row>
    <row r="6" spans="1:17" s="12" customFormat="1" ht="13.2" x14ac:dyDescent="0.25">
      <c r="B6" s="68"/>
      <c r="C6" s="15"/>
      <c r="D6" s="15" t="str">
        <f>+VLOOKUP([68]INPUT_Date.Etc!$B$4,[68]INPUT_Date.Etc!$A$14:$P$25,[68]INPUT_Date.Etc!$M$12)</f>
        <v>Volume for the Month of December 2015</v>
      </c>
      <c r="E6" s="16"/>
      <c r="F6" s="17"/>
      <c r="G6" s="17"/>
      <c r="H6" s="17"/>
      <c r="I6" s="13"/>
      <c r="J6" s="69"/>
      <c r="K6" s="15"/>
      <c r="L6" s="15" t="str">
        <f>+VLOOKUP([68]INPUT_Date.Etc!$B$4,[68]INPUT_Date.Etc!$A$14:$P$25,[68]INPUT_Date.Etc!$N$12)</f>
        <v>Volume for the Month of December 2014</v>
      </c>
      <c r="M6" s="69"/>
      <c r="N6" s="69"/>
      <c r="O6" s="17"/>
    </row>
    <row r="7" spans="1:17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  <c r="P7" s="12"/>
      <c r="Q7" s="12"/>
    </row>
    <row r="8" spans="1:17" x14ac:dyDescent="0.3">
      <c r="A8" s="12" t="s">
        <v>17</v>
      </c>
      <c r="B8" s="22">
        <f>+HLOOKUP([68]INPUT_Date.Etc!$B$4,[68]Delaware!$A$4:$P$57,9, FALSE)</f>
        <v>246175</v>
      </c>
      <c r="C8" s="22">
        <f>+HLOOKUP([68]INPUT_Date.Etc!$B$4,[68]Maryland!$A$4:$P$57,9, FALSE)</f>
        <v>45432</v>
      </c>
      <c r="D8" s="22">
        <f>+HLOOKUP([68]INPUT_Date.Etc!$B$4,[68]WorcesterCounty!$A$4:$P$57,9, FALSE)</f>
        <v>18965</v>
      </c>
      <c r="E8" s="22">
        <f>+HLOOKUP([68]INPUT_Date.Etc!$B$4,[68]CFG!$A$4:$P$57,9, FALSE)</f>
        <v>30388.158535397797</v>
      </c>
      <c r="F8" s="22">
        <f>+HLOOKUP([68]INPUT_Date.Etc!$B$4,[68]FPUNG!$A$4:$P$116,9, FALSE)</f>
        <v>118885</v>
      </c>
      <c r="G8" s="22">
        <f>+HLOOKUP([68]INPUT_Date.Etc!$B$4,[68]Electric!$E$4:$P$57,9, FALSE)</f>
        <v>19624</v>
      </c>
      <c r="H8" s="22">
        <f>+HLOOKUP([68]INPUT_Date.Etc!$B$4,[68]ESNG!$E$11:$P$15,2, FALSE)</f>
        <v>0</v>
      </c>
      <c r="I8" s="23"/>
      <c r="J8" s="22">
        <f>+HLOOKUP([68]INPUT_Date.Etc!$B$4,[68]Delaware!$T$4:$AI$52,9, FALSE)</f>
        <v>356917</v>
      </c>
      <c r="K8" s="22">
        <f>+HLOOKUP([68]INPUT_Date.Etc!$B$4,[68]Maryland!$T$4:$AI$52,9, FALSE)</f>
        <v>71097</v>
      </c>
      <c r="L8" s="22">
        <f>+HLOOKUP([68]INPUT_Date.Etc!$B$4,[68]CFG!$T$4:$AI$52,9, FALSE)</f>
        <v>39787.126302463723</v>
      </c>
      <c r="M8" s="22">
        <f>+HLOOKUP([68]INPUT_Date.Etc!$B$4,[68]FPUNG!$T$4:$AI$116,9, FALSE)</f>
        <v>152241</v>
      </c>
      <c r="N8" s="22">
        <f>+HLOOKUP([68]INPUT_Date.Etc!$B$4,[68]Electric!$T$4:$AI$43,9, FALSE)</f>
        <v>24910.794999999998</v>
      </c>
      <c r="O8" s="22">
        <v>0</v>
      </c>
    </row>
    <row r="9" spans="1:17" x14ac:dyDescent="0.3">
      <c r="A9" s="12" t="s">
        <v>18</v>
      </c>
      <c r="B9" s="22">
        <f>+HLOOKUP([68]INPUT_Date.Etc!$B$4,[68]Delaware!$A$4:$P$57,10, FALSE)</f>
        <v>201467</v>
      </c>
      <c r="C9" s="22">
        <f>+HLOOKUP([68]INPUT_Date.Etc!$B$4,[68]Maryland!$A$4:$P$57,10, FALSE)</f>
        <v>73724</v>
      </c>
      <c r="D9" s="22">
        <f>+HLOOKUP([68]INPUT_Date.Etc!$B$4,[68]WorcesterCounty!$A$4:$P$57,10, FALSE)</f>
        <v>28535</v>
      </c>
      <c r="E9" s="22">
        <f>+HLOOKUP([68]INPUT_Date.Etc!$B$4,[68]CFG!$A$4:$P$57,10, FALSE)</f>
        <v>440278.60551173432</v>
      </c>
      <c r="F9" s="22">
        <f>+HLOOKUP([68]INPUT_Date.Etc!$B$4,[68]FPUNG!$A$4:$P$116,10, FALSE)</f>
        <v>195521</v>
      </c>
      <c r="G9" s="22">
        <f>+HLOOKUP([68]INPUT_Date.Etc!$B$4,[68]Electric!$E$4:$P$57,10, FALSE)</f>
        <v>23658</v>
      </c>
      <c r="H9" s="22">
        <f>+HLOOKUP([68]INPUT_Date.Etc!$B$4,[68]ESNG!$E$11:$P$15,3, FALSE)</f>
        <v>0</v>
      </c>
      <c r="I9" s="23"/>
      <c r="J9" s="22">
        <f>+HLOOKUP([68]INPUT_Date.Etc!$B$4,[68]Delaware!$T$4:$AI$52,10, FALSE)</f>
        <v>292705</v>
      </c>
      <c r="K9" s="22">
        <f>+HLOOKUP([68]INPUT_Date.Etc!$B$4,[68]Maryland!$T$4:$AI$52,10, FALSE)</f>
        <v>102536</v>
      </c>
      <c r="L9" s="22">
        <f>+HLOOKUP([68]INPUT_Date.Etc!$B$4,[68]CFG!$T$4:$AI$52,10, FALSE)</f>
        <v>443470.1528873308</v>
      </c>
      <c r="M9" s="22">
        <f>+HLOOKUP([68]INPUT_Date.Etc!$B$4,[68]FPUNG!$T$4:$AI$116,10, FALSE)</f>
        <v>251956</v>
      </c>
      <c r="N9" s="22">
        <f>+HLOOKUP([68]INPUT_Date.Etc!$B$4,[68]Electric!$T$4:$AI$43,10, FALSE)</f>
        <v>23465.699000000001</v>
      </c>
      <c r="O9" s="22">
        <v>0</v>
      </c>
    </row>
    <row r="10" spans="1:17" x14ac:dyDescent="0.3">
      <c r="A10" s="12" t="s">
        <v>19</v>
      </c>
      <c r="B10" s="22">
        <f>+HLOOKUP([68]INPUT_Date.Etc!$B$4,[68]Delaware!$A$4:$P$57,11, FALSE)</f>
        <v>280291</v>
      </c>
      <c r="C10" s="22">
        <f>+HLOOKUP([68]INPUT_Date.Etc!$B$4,[68]Maryland!$A$4:$P$57,11, FALSE)</f>
        <v>143706</v>
      </c>
      <c r="D10" s="22">
        <f>+HLOOKUP([68]INPUT_Date.Etc!$B$4,[68]WorcesterCounty!$A$4:$P$57,11, FALSE)</f>
        <v>6444</v>
      </c>
      <c r="E10" s="22">
        <f>+HLOOKUP([68]INPUT_Date.Etc!$B$4,[68]CFG!$A$4:$P$57,11, FALSE)</f>
        <v>1136489.2394585647</v>
      </c>
      <c r="F10" s="22">
        <f>+HLOOKUP([68]INPUT_Date.Etc!$B$4,[68]FPUNG!$A$4:$P$116,11, FALSE)</f>
        <v>332195</v>
      </c>
      <c r="G10" s="22">
        <f>+HLOOKUP([68]INPUT_Date.Etc!$B$4,[68]Electric!$E$4:$P$57,11, FALSE)</f>
        <v>3050</v>
      </c>
      <c r="H10" s="22">
        <v>0</v>
      </c>
      <c r="I10" s="23"/>
      <c r="J10" s="22">
        <f>+HLOOKUP([68]INPUT_Date.Etc!$B$4,[68]Delaware!$T$4:$AI$52,11, FALSE)</f>
        <v>279234</v>
      </c>
      <c r="K10" s="22">
        <f>+HLOOKUP([68]INPUT_Date.Etc!$B$4,[68]Maryland!$T$4:$AI$52,11, FALSE)</f>
        <v>144315</v>
      </c>
      <c r="L10" s="22">
        <f>+HLOOKUP([68]INPUT_Date.Etc!$B$4,[68]CFG!$T$4:$AI$52,11, FALSE)</f>
        <v>964284.74048105953</v>
      </c>
      <c r="M10" s="22">
        <f>+HLOOKUP([68]INPUT_Date.Etc!$B$4,[68]FPUNG!$T$4:$AI$116,11, FALSE)</f>
        <v>315099</v>
      </c>
      <c r="N10" s="22">
        <f>+HLOOKUP([68]INPUT_Date.Etc!$B$4,[68]Electric!$T$4:$AI$43,11, FALSE)</f>
        <v>1170</v>
      </c>
      <c r="O10" s="22">
        <v>0</v>
      </c>
    </row>
    <row r="11" spans="1:17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+HLOOKUP([68]INPUT_Date.Etc!$B$4,[68]ESNG!$A$4:$P$71,11,FALSE)</f>
        <v>4079434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>+HLOOKUP([68]INPUT_Date.Etc!$B$4,[68]ESNG!$T$4:$AI$58,11, FALSE)</f>
        <v>4015275</v>
      </c>
    </row>
    <row r="12" spans="1:17" x14ac:dyDescent="0.3">
      <c r="A12" s="12" t="s">
        <v>21</v>
      </c>
      <c r="B12" s="22">
        <f>+HLOOKUP([68]INPUT_Date.Etc!$B$4,[68]Delaware!$A$4:$P$57,12, FALSE)</f>
        <v>5963</v>
      </c>
      <c r="C12" s="22">
        <f>+HLOOKUP([68]INPUT_Date.Etc!$B$4,[68]Maryland!$A$4:$P$57,12, FALSE)</f>
        <v>0</v>
      </c>
      <c r="D12" s="22">
        <f>+HLOOKUP([68]INPUT_Date.Etc!$B$4,[68]WorcesterCounty!$A$4:$P$57,12, FALSE)</f>
        <v>0</v>
      </c>
      <c r="E12" s="22">
        <f>+HLOOKUP([68]INPUT_Date.Etc!$B$4,[68]CFG!$A$4:$P$57,12, FALSE)</f>
        <v>0</v>
      </c>
      <c r="F12" s="22">
        <f>+HLOOKUP([68]INPUT_Date.Etc!$B$4,[68]FPUNG!$A$4:$P$116,12, FALSE)</f>
        <v>851</v>
      </c>
      <c r="G12" s="22">
        <f>+HLOOKUP([68]INPUT_Date.Etc!$B$4,[68]Electric!$E$4:$P$57,12, FALSE)</f>
        <v>-1381</v>
      </c>
      <c r="H12" s="22">
        <f>+HLOOKUP([68]INPUT_Date.Etc!$B$4,[68]ESNG!$A$4:$P$71,12,FALSE)</f>
        <v>374461</v>
      </c>
      <c r="I12" s="23"/>
      <c r="J12" s="22">
        <f>+HLOOKUP([68]INPUT_Date.Etc!$B$4,[68]Delaware!$T$4:$AI$52,12, FALSE)</f>
        <v>4414</v>
      </c>
      <c r="K12" s="22">
        <f>+HLOOKUP([68]INPUT_Date.Etc!$B$4,[68]Maryland!$T$4:$AI$52,12, FALSE)</f>
        <v>0</v>
      </c>
      <c r="L12" s="22">
        <f>+HLOOKUP([68]INPUT_Date.Etc!$B$4,[68]CFG!$T$4:$AI$52,12, FALSE)</f>
        <v>0</v>
      </c>
      <c r="M12" s="22">
        <f>+HLOOKUP([68]INPUT_Date.Etc!$B$4,[68]FPUNG!$T$4:$AI$116,12, FALSE)</f>
        <v>45640.276560521961</v>
      </c>
      <c r="N12" s="22">
        <f>+HLOOKUP([68]INPUT_Date.Etc!$B$4,[68]Electric!$T$4:$AI$43,12, FALSE)</f>
        <v>786.43399999999997</v>
      </c>
      <c r="O12" s="22">
        <f>+HLOOKUP([68]INPUT_Date.Etc!$B$4,[68]ESNG!$T$4:$AI$58,12, FALSE)</f>
        <v>128383</v>
      </c>
    </row>
    <row r="13" spans="1:17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+HLOOKUP([68]INPUT_Date.Etc!$B$4,[68]ESNG!$A$4:$P$71,13,FALSE)</f>
        <v>-997784</v>
      </c>
      <c r="I13" s="23"/>
      <c r="J13" s="22">
        <f>+[68]Delaware!V10</f>
        <v>0</v>
      </c>
      <c r="K13" s="22">
        <f>+[68]Maryland!W10</f>
        <v>0</v>
      </c>
      <c r="L13" s="22">
        <f>+[68]CFG!X10</f>
        <v>0</v>
      </c>
      <c r="M13" s="24">
        <v>0</v>
      </c>
      <c r="N13" s="22">
        <v>0</v>
      </c>
      <c r="O13" s="22">
        <f>+HLOOKUP([68]INPUT_Date.Etc!$B$4,[68]ESNG!$T$4:$AI$58,13, FALSE)</f>
        <v>-1347920</v>
      </c>
    </row>
    <row r="14" spans="1:17" ht="15" thickBot="1" x14ac:dyDescent="0.35">
      <c r="A14" s="72" t="s">
        <v>180</v>
      </c>
      <c r="B14" s="27">
        <f t="shared" ref="B14:H14" si="0">SUM(B8:B13)</f>
        <v>733896</v>
      </c>
      <c r="C14" s="27">
        <f t="shared" si="0"/>
        <v>262862</v>
      </c>
      <c r="D14" s="27">
        <f t="shared" si="0"/>
        <v>53944</v>
      </c>
      <c r="E14" s="27">
        <f t="shared" si="0"/>
        <v>1607156.0035056968</v>
      </c>
      <c r="F14" s="27">
        <f t="shared" si="0"/>
        <v>647452</v>
      </c>
      <c r="G14" s="27">
        <f t="shared" si="0"/>
        <v>44951</v>
      </c>
      <c r="H14" s="27">
        <f t="shared" si="0"/>
        <v>3456111</v>
      </c>
      <c r="I14" s="23"/>
      <c r="J14" s="27">
        <f t="shared" ref="J14:O14" si="1">SUM(J8:J13)</f>
        <v>933270</v>
      </c>
      <c r="K14" s="27">
        <f t="shared" si="1"/>
        <v>317948</v>
      </c>
      <c r="L14" s="27">
        <f t="shared" si="1"/>
        <v>1447542.0196708541</v>
      </c>
      <c r="M14" s="27">
        <f t="shared" si="1"/>
        <v>764936.27656052192</v>
      </c>
      <c r="N14" s="27">
        <f t="shared" si="1"/>
        <v>50332.928</v>
      </c>
      <c r="O14" s="27">
        <f t="shared" si="1"/>
        <v>2795738</v>
      </c>
    </row>
    <row r="15" spans="1:17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7" x14ac:dyDescent="0.3">
      <c r="A17" s="10"/>
      <c r="B17" s="28"/>
      <c r="C17" s="15"/>
      <c r="D17" s="15" t="str">
        <f>+VLOOKUP([68]INPUT_Date.Etc!$B$4,[68]INPUT_Date.Etc!$A$14:$P$25,[68]INPUT_Date.Etc!$O$12)</f>
        <v>Volume for the Twelve Months ended December 31, 2015</v>
      </c>
      <c r="E17" s="74"/>
      <c r="F17" s="19"/>
      <c r="G17" s="19"/>
      <c r="H17" s="19"/>
      <c r="I17" s="75"/>
      <c r="J17" s="23"/>
      <c r="K17" s="15" t="str">
        <f>+VLOOKUP([68]INPUT_Date.Etc!$B$4,[68]INPUT_Date.Etc!$A$14:$P$25,[68]INPUT_Date.Etc!$P$12)</f>
        <v>Volume for the Twelve Months ended December 31, 2014</v>
      </c>
      <c r="L17" s="28"/>
      <c r="M17" s="28"/>
      <c r="N17" s="28"/>
      <c r="O17" s="23"/>
    </row>
    <row r="18" spans="1:17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  <c r="P18" s="12"/>
      <c r="Q18" s="12"/>
    </row>
    <row r="19" spans="1:17" x14ac:dyDescent="0.3">
      <c r="A19" s="12" t="s">
        <v>17</v>
      </c>
      <c r="B19" s="22">
        <f>+HLOOKUP([68]INPUT_Date.Etc!$B$4,[68]Delaware!$A$4:$P$57,38, FALSE)</f>
        <v>2689939</v>
      </c>
      <c r="C19" s="22">
        <f>+HLOOKUP([68]INPUT_Date.Etc!$B$4,[68]Maryland!$A$4:$P$57,38, FALSE)</f>
        <v>560347</v>
      </c>
      <c r="D19" s="22">
        <f>+HLOOKUP([68]INPUT_Date.Etc!$B$4,[68]WorcesterCounty!$A$4:$P$57,38, FALSE)</f>
        <v>269550</v>
      </c>
      <c r="E19" s="22">
        <f>+HLOOKUP([68]INPUT_Date.Etc!$B$4,[68]CFG!$A$4:$P$57,38, FALSE)</f>
        <v>318645.11709806212</v>
      </c>
      <c r="F19" s="22">
        <f>+HLOOKUP([68]INPUT_Date.Etc!$B$4,[68]FPUNG!$A$4:$P$116,96, FALSE)</f>
        <v>1215133.0395364724</v>
      </c>
      <c r="G19" s="22">
        <f>+HLOOKUP([68]INPUT_Date.Etc!$B$4,[68]Electric!$E$4:$P$57,32, FALSE)</f>
        <v>303642.13800000004</v>
      </c>
      <c r="H19" s="22">
        <f>+HLOOKUP([68]INPUT_Date.Etc!$B$4,[68]ESNG!$E$11:$P$15,2, FALSE)</f>
        <v>0</v>
      </c>
      <c r="I19" s="23"/>
      <c r="J19" s="22">
        <f>+HLOOKUP([68]INPUT_Date.Etc!$B$4,[68]Delaware!$T$4:$AI$52,38, FALSE)</f>
        <v>2696882</v>
      </c>
      <c r="K19" s="22">
        <f>+HLOOKUP([68]INPUT_Date.Etc!$B$4,[68]Maryland!$T$4:$AI$52,38, FALSE)</f>
        <v>563905</v>
      </c>
      <c r="L19" s="22">
        <f>+HLOOKUP([68]INPUT_Date.Etc!$B$4,[68]CFG!$T$4:$AI$52,38, FALSE)</f>
        <v>333709.19875352998</v>
      </c>
      <c r="M19" s="22">
        <f>+HLOOKUP([68]INPUT_Date.Etc!$B$4,[68]FPUNG!$T$4:$AI$116,96, FALSE)</f>
        <v>1248047.266335573</v>
      </c>
      <c r="N19" s="22">
        <f>+HLOOKUP([68]INPUT_Date.Etc!$B$4,[68]Electric!$T$4:$AI$43,32, FALSE)</f>
        <v>310218.27600000001</v>
      </c>
      <c r="O19" s="22">
        <v>0</v>
      </c>
    </row>
    <row r="20" spans="1:17" x14ac:dyDescent="0.3">
      <c r="A20" s="12" t="s">
        <v>18</v>
      </c>
      <c r="B20" s="22">
        <f>+HLOOKUP([68]INPUT_Date.Etc!$B$4,[68]Delaware!$A$4:$P$57,39, FALSE)</f>
        <v>2176818</v>
      </c>
      <c r="C20" s="22">
        <f>+HLOOKUP([68]INPUT_Date.Etc!$B$4,[68]Maryland!$A$4:$P$57,39, FALSE)</f>
        <v>861998</v>
      </c>
      <c r="D20" s="22">
        <f>+HLOOKUP([68]INPUT_Date.Etc!$B$4,[68]WorcesterCounty!$A$4:$P$57,39, FALSE)</f>
        <v>447521</v>
      </c>
      <c r="E20" s="22">
        <f>+HLOOKUP([68]INPUT_Date.Etc!$B$4,[68]CFG!$A$4:$P$57,39, FALSE)</f>
        <v>5274821.3954163007</v>
      </c>
      <c r="F20" s="22">
        <f>+HLOOKUP([68]INPUT_Date.Etc!$B$4,[68]FPUNG!$A$4:$P$116,97, FALSE)</f>
        <v>2354482.4883630341</v>
      </c>
      <c r="G20" s="22">
        <f>+HLOOKUP([68]INPUT_Date.Etc!$B$4,[68]Electric!$E$4:$P$57,33, FALSE)</f>
        <v>313756.68099999998</v>
      </c>
      <c r="H20" s="22">
        <f>+HLOOKUP([68]INPUT_Date.Etc!$B$4,[68]ESNG!$E$11:$P$15,3, FALSE)</f>
        <v>0</v>
      </c>
      <c r="I20" s="23"/>
      <c r="J20" s="22">
        <f>+HLOOKUP([68]INPUT_Date.Etc!$B$4,[68]Delaware!$T$4:$AI$52,39, FALSE)</f>
        <v>2303858</v>
      </c>
      <c r="K20" s="22">
        <f>+HLOOKUP([68]INPUT_Date.Etc!$B$4,[68]Maryland!$T$4:$AI$52,39, FALSE)</f>
        <v>869825</v>
      </c>
      <c r="L20" s="22">
        <f>+HLOOKUP([68]INPUT_Date.Etc!$B$4,[68]CFG!$T$4:$AI$52,39, FALSE)</f>
        <v>1672129.6133995519</v>
      </c>
      <c r="M20" s="22">
        <f>+HLOOKUP([68]INPUT_Date.Etc!$B$4,[68]FPUNG!$T$4:$AI$116,97, FALSE)</f>
        <v>2528529.3482325445</v>
      </c>
      <c r="N20" s="22">
        <f>+HLOOKUP([68]INPUT_Date.Etc!$B$4,[68]Electric!$T$4:$AI$43,33, FALSE)</f>
        <v>312557.49200000003</v>
      </c>
      <c r="O20" s="22">
        <v>0</v>
      </c>
    </row>
    <row r="21" spans="1:17" x14ac:dyDescent="0.3">
      <c r="A21" s="12" t="s">
        <v>19</v>
      </c>
      <c r="B21" s="22">
        <f>+HLOOKUP([68]INPUT_Date.Etc!$B$4,[68]Delaware!$A$4:$P$57,40, FALSE)</f>
        <v>2853266</v>
      </c>
      <c r="C21" s="22">
        <f>+HLOOKUP([68]INPUT_Date.Etc!$B$4,[68]Maryland!$A$4:$P$57,40, FALSE)</f>
        <v>1431238</v>
      </c>
      <c r="D21" s="22">
        <f>+HLOOKUP([68]INPUT_Date.Etc!$B$4,[68]WorcesterCounty!$A$4:$P$57,40, FALSE)</f>
        <v>74721</v>
      </c>
      <c r="E21" s="22">
        <f>+HLOOKUP([68]INPUT_Date.Etc!$B$4,[68]CFG!$A$4:$P$57,40, FALSE)</f>
        <v>10714720.026967572</v>
      </c>
      <c r="F21" s="22">
        <f>+HLOOKUP([68]INPUT_Date.Etc!$B$4,[68]FPUNG!$A$4:$P$116,98, FALSE)</f>
        <v>3883435.7124354853</v>
      </c>
      <c r="G21" s="22">
        <f>+HLOOKUP([68]INPUT_Date.Etc!$B$4,[68]Electric!$E$4:$P$57,34, FALSE)</f>
        <v>18880</v>
      </c>
      <c r="H21" s="22">
        <v>0</v>
      </c>
      <c r="I21" s="23"/>
      <c r="J21" s="22">
        <f>+HLOOKUP([68]INPUT_Date.Etc!$B$4,[68]Delaware!$T$4:$AI$52,40, FALSE)</f>
        <v>2750438</v>
      </c>
      <c r="K21" s="22">
        <f>+HLOOKUP([68]INPUT_Date.Etc!$B$4,[68]Maryland!$T$4:$AI$52,40, FALSE)</f>
        <v>1374405</v>
      </c>
      <c r="L21" s="22">
        <f>+HLOOKUP([68]INPUT_Date.Etc!$B$4,[68]CFG!$T$4:$AI$52,40, FALSE)</f>
        <v>12287960.11305872</v>
      </c>
      <c r="M21" s="22">
        <f>+HLOOKUP([68]INPUT_Date.Etc!$B$4,[68]FPUNG!$T$4:$AI$116,98, FALSE)</f>
        <v>3741292.618658097</v>
      </c>
      <c r="N21" s="22">
        <f>+HLOOKUP([68]INPUT_Date.Etc!$B$4,[68]Electric!$T$4:$AI$43,34, FALSE)</f>
        <v>29090</v>
      </c>
      <c r="O21" s="22">
        <v>0</v>
      </c>
    </row>
    <row r="22" spans="1:17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+HLOOKUP([68]INPUT_Date.Etc!$B$4,[68]ESNG!$A$4:$P$71,48,FALSE)</f>
        <v>41893289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f>+HLOOKUP([68]INPUT_Date.Etc!$B$4,[68]ESNG!$T$4:$AI$58,48, FALSE)</f>
        <v>38675529</v>
      </c>
    </row>
    <row r="23" spans="1:17" x14ac:dyDescent="0.3">
      <c r="A23" s="12" t="s">
        <v>21</v>
      </c>
      <c r="B23" s="22">
        <f>+HLOOKUP([68]INPUT_Date.Etc!$B$4,[68]Delaware!$A$4:$P$57,41, FALSE)</f>
        <v>78085</v>
      </c>
      <c r="C23" s="22">
        <f>+HLOOKUP([68]INPUT_Date.Etc!$B$4,[68]Maryland!$A$4:$P$57,41, FALSE)</f>
        <v>0</v>
      </c>
      <c r="D23" s="22">
        <f>+HLOOKUP([68]INPUT_Date.Etc!$B$4,[68]WorcesterCounty!$A$4:$P$57,41, FALSE)</f>
        <v>0</v>
      </c>
      <c r="E23" s="22">
        <f>+HLOOKUP([68]INPUT_Date.Etc!$B$4,[68]CFG!$A$4:$P$57,41, FALSE)</f>
        <v>0</v>
      </c>
      <c r="F23" s="22">
        <f>+HLOOKUP([68]INPUT_Date.Etc!$B$4,[68]FPUNG!$A$4:$P$116,99, FALSE)</f>
        <v>-82543.286785470831</v>
      </c>
      <c r="G23" s="22">
        <f>+HLOOKUP([68]INPUT_Date.Etc!$B$4,[68]Electric!$E$4:$P$57,35, FALSE)</f>
        <v>-1740.4154899999967</v>
      </c>
      <c r="H23" s="22">
        <f>+HLOOKUP([68]INPUT_Date.Etc!$B$4,[68]ESNG!$A$4:$P$71,49,FALSE)</f>
        <v>5118002</v>
      </c>
      <c r="I23" s="23"/>
      <c r="J23" s="22">
        <f>+HLOOKUP([68]INPUT_Date.Etc!$B$4,[68]Delaware!$T$4:$AI$52,41, FALSE)</f>
        <v>70654</v>
      </c>
      <c r="K23" s="22">
        <f>+HLOOKUP([68]INPUT_Date.Etc!$B$4,[68]Maryland!$T$4:$AI$52,41, FALSE)</f>
        <v>0</v>
      </c>
      <c r="L23" s="22">
        <f>+HLOOKUP([68]INPUT_Date.Etc!$B$4,[68]CFG!$T$4:$AI$52,41, FALSE)</f>
        <v>0</v>
      </c>
      <c r="M23" s="22">
        <f>+HLOOKUP([68]INPUT_Date.Etc!$B$4,[68]FPUNG!$T$4:$AI$116,99, FALSE)</f>
        <v>33550.189891907692</v>
      </c>
      <c r="N23" s="22">
        <f>+HLOOKUP([68]INPUT_Date.Etc!$B$4,[68]Electric!$T$4:$AI$43,35, FALSE)</f>
        <v>-8532.7022000000015</v>
      </c>
      <c r="O23" s="22">
        <f>+HLOOKUP([68]INPUT_Date.Etc!$B$4,[68]ESNG!$T$4:$AI$58,49, FALSE)</f>
        <v>1599941</v>
      </c>
    </row>
    <row r="24" spans="1:17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+HLOOKUP([68]INPUT_Date.Etc!$B$4,[68]ESNG!$A$4:$P$71,50,FALSE)</f>
        <v>-10947113</v>
      </c>
      <c r="I24" s="23"/>
      <c r="J24" s="22">
        <v>0</v>
      </c>
      <c r="K24" s="22">
        <v>0</v>
      </c>
      <c r="L24" s="22">
        <v>0</v>
      </c>
      <c r="M24" s="24">
        <v>0</v>
      </c>
      <c r="N24" s="22">
        <v>0</v>
      </c>
      <c r="O24" s="22">
        <f>+HLOOKUP([68]INPUT_Date.Etc!$B$4,[68]ESNG!$T$4:$AI$58,50, FALSE)</f>
        <v>-11053974</v>
      </c>
    </row>
    <row r="25" spans="1:17" ht="15" thickBot="1" x14ac:dyDescent="0.35">
      <c r="A25" s="72" t="s">
        <v>180</v>
      </c>
      <c r="B25" s="27">
        <f t="shared" ref="B25:H25" si="2">SUM(B19:B24)</f>
        <v>7798108</v>
      </c>
      <c r="C25" s="27">
        <f t="shared" si="2"/>
        <v>2853583</v>
      </c>
      <c r="D25" s="27">
        <f t="shared" si="2"/>
        <v>791792</v>
      </c>
      <c r="E25" s="76">
        <f t="shared" si="2"/>
        <v>16308186.539481934</v>
      </c>
      <c r="F25" s="76">
        <f t="shared" si="2"/>
        <v>7370507.9535495201</v>
      </c>
      <c r="G25" s="27">
        <f t="shared" si="2"/>
        <v>634538.40350999997</v>
      </c>
      <c r="H25" s="27">
        <f t="shared" si="2"/>
        <v>36064178</v>
      </c>
      <c r="I25" s="23"/>
      <c r="J25" s="27">
        <f t="shared" ref="J25:O25" si="3">SUM(J19:J24)</f>
        <v>7821832</v>
      </c>
      <c r="K25" s="27">
        <f t="shared" si="3"/>
        <v>2808135</v>
      </c>
      <c r="L25" s="27">
        <f t="shared" si="3"/>
        <v>14293798.925211802</v>
      </c>
      <c r="M25" s="27">
        <f t="shared" si="3"/>
        <v>7551419.4231181219</v>
      </c>
      <c r="N25" s="27">
        <f t="shared" si="3"/>
        <v>643333.06579999998</v>
      </c>
      <c r="O25" s="27">
        <f t="shared" si="3"/>
        <v>29221496</v>
      </c>
    </row>
    <row r="26" spans="1:17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8"/>
      <c r="M26" s="78"/>
      <c r="N26" s="78"/>
      <c r="O26" s="78"/>
    </row>
    <row r="27" spans="1:17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8"/>
      <c r="M27" s="78"/>
      <c r="N27" s="78"/>
      <c r="O27" s="78"/>
    </row>
    <row r="28" spans="1:17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8"/>
      <c r="M28" s="78"/>
      <c r="N28" s="78"/>
      <c r="O28" s="78"/>
    </row>
    <row r="29" spans="1:17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8"/>
      <c r="M29" s="78"/>
      <c r="N29" s="78"/>
      <c r="O29" s="78"/>
    </row>
    <row r="30" spans="1:17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</row>
  </sheetData>
  <pageMargins left="0.7" right="0.7" top="0.75" bottom="0.75" header="0.3" footer="0.3"/>
  <pageSetup scale="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8" sqref="D8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+[69]RegCust!G3</f>
        <v>For the Twelve Months ended December 31, 2016 and 2015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+VLOOKUP([69]INPUT_Date.Etc!$B$4,[69]INPUT_Date.Etc!$A$14:$P$25,[69]INPUT_Date.Etc!$M$12)</f>
        <v>Volume for the Month of December 2016</v>
      </c>
      <c r="E6" s="16"/>
      <c r="F6" s="17"/>
      <c r="G6" s="17"/>
      <c r="H6" s="17"/>
      <c r="I6" s="13"/>
      <c r="J6" s="69"/>
      <c r="K6" s="15"/>
      <c r="L6" s="15"/>
      <c r="M6" s="15" t="str">
        <f>+VLOOKUP([69]INPUT_Date.Etc!$B$4,[69]INPUT_Date.Etc!$A$14:$P$25,[69]INPUT_Date.Etc!$N$12)</f>
        <v>Volume for the Month of December 2015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+HLOOKUP([69]INPUT_Date.Etc!$B$4,[69]Delaware!$A$4:$P$57,9, FALSE)</f>
        <v>347952</v>
      </c>
      <c r="C8" s="22">
        <f>+HLOOKUP([69]INPUT_Date.Etc!$B$4,[69]Maryland!$A$4:$P$57,9, FALSE)</f>
        <v>66980</v>
      </c>
      <c r="D8" s="22">
        <f>+HLOOKUP([69]INPUT_Date.Etc!$B$4,[69]WorcesterCounty!$A$4:$P$57,9, FALSE)</f>
        <v>32035</v>
      </c>
      <c r="E8" s="22">
        <f>+HLOOKUP([69]INPUT_Date.Etc!$B$4,[69]CFG!$A$4:$P$57,9, FALSE)</f>
        <v>33576.102833771547</v>
      </c>
      <c r="F8" s="22">
        <f>+HLOOKUP([69]INPUT_Date.Etc!$B$4,[69]FPUNG!$A$4:$P$116,9, FALSE)</f>
        <v>128922.97205180641</v>
      </c>
      <c r="G8" s="22">
        <f>+HLOOKUP([69]INPUT_Date.Etc!$B$4,[69]Electric!$E$4:$P$57,9, FALSE)</f>
        <v>19705.948</v>
      </c>
      <c r="H8" s="22">
        <f>+HLOOKUP([69]INPUT_Date.Etc!$B$4,[69]ESNG!$E$11:$P$15,2, FALSE)</f>
        <v>0</v>
      </c>
      <c r="I8" s="23"/>
      <c r="J8" s="22">
        <f>+HLOOKUP([69]INPUT_Date.Etc!$B$4,[69]Delaware!$T$4:$AI$52,9, FALSE)</f>
        <v>246175</v>
      </c>
      <c r="K8" s="22">
        <f>+HLOOKUP([69]INPUT_Date.Etc!$B$4,[69]Maryland!$T$4:$AI$52,9, FALSE)</f>
        <v>45432</v>
      </c>
      <c r="L8" s="22">
        <f>+HLOOKUP([69]INPUT_Date.Etc!$B$4,[69]WorcesterCounty!$T$4:$AI$52,9, FALSE)</f>
        <v>18965</v>
      </c>
      <c r="M8" s="22">
        <f>+HLOOKUP([69]INPUT_Date.Etc!$B$4,[69]CFG!$T$4:$AI$52,9, FALSE)</f>
        <v>30388.158535397797</v>
      </c>
      <c r="N8" s="22">
        <f>+HLOOKUP([69]INPUT_Date.Etc!$B$4,[69]FPUNG!$T$4:$AI$116,9, FALSE)</f>
        <v>118885</v>
      </c>
      <c r="O8" s="22">
        <f>+HLOOKUP([69]INPUT_Date.Etc!$B$4,[69]Electric!$T$4:$AI$43,9, FALSE)</f>
        <v>19624</v>
      </c>
      <c r="P8" s="22">
        <v>0</v>
      </c>
    </row>
    <row r="9" spans="1:18" x14ac:dyDescent="0.3">
      <c r="A9" s="12" t="s">
        <v>18</v>
      </c>
      <c r="B9" s="22">
        <f>+HLOOKUP([69]INPUT_Date.Etc!$B$4,[69]Delaware!$A$4:$P$57,10, FALSE)</f>
        <v>284023</v>
      </c>
      <c r="C9" s="22">
        <f>+HLOOKUP([69]INPUT_Date.Etc!$B$4,[69]Maryland!$A$4:$P$57,10, FALSE)</f>
        <v>103863</v>
      </c>
      <c r="D9" s="22">
        <f>+HLOOKUP([69]INPUT_Date.Etc!$B$4,[69]WorcesterCounty!$A$4:$P$57,10, FALSE)</f>
        <v>27345</v>
      </c>
      <c r="E9" s="22">
        <f>+HLOOKUP([69]INPUT_Date.Etc!$B$4,[69]CFG!$A$4:$P$57,10, FALSE)</f>
        <v>973551.27081507444</v>
      </c>
      <c r="F9" s="22">
        <f>+HLOOKUP([69]INPUT_Date.Etc!$B$4,[69]FPUNG!$A$4:$P$116,10, FALSE)</f>
        <v>183280.74788197488</v>
      </c>
      <c r="G9" s="22">
        <f>+HLOOKUP([69]INPUT_Date.Etc!$B$4,[69]Electric!$E$4:$P$57,10, FALSE)</f>
        <v>22258.975999999999</v>
      </c>
      <c r="H9" s="22">
        <f>+HLOOKUP([69]INPUT_Date.Etc!$B$4,[69]ESNG!$E$11:$P$15,3, FALSE)</f>
        <v>0</v>
      </c>
      <c r="I9" s="23"/>
      <c r="J9" s="22">
        <f>+HLOOKUP([69]INPUT_Date.Etc!$B$4,[69]Delaware!$T$4:$AI$52,10, FALSE)</f>
        <v>201467</v>
      </c>
      <c r="K9" s="22">
        <f>+HLOOKUP([69]INPUT_Date.Etc!$B$4,[69]Maryland!$T$4:$AI$52,10, FALSE)</f>
        <v>73724</v>
      </c>
      <c r="L9" s="22">
        <f>+HLOOKUP([69]INPUT_Date.Etc!$B$4,[69]WorcesterCounty!$T$4:$AI$52,10, FALSE)</f>
        <v>28535</v>
      </c>
      <c r="M9" s="22">
        <f>+HLOOKUP([69]INPUT_Date.Etc!$B$4,[69]CFG!$T$4:$AI$52,10, FALSE)</f>
        <v>440278.60551173432</v>
      </c>
      <c r="N9" s="22">
        <f>+HLOOKUP([69]INPUT_Date.Etc!$B$4,[69]FPUNG!$T$4:$AI$116,10, FALSE)</f>
        <v>195521</v>
      </c>
      <c r="O9" s="22">
        <f>+HLOOKUP([69]INPUT_Date.Etc!$B$4,[69]Electric!$T$4:$AI$43,10, FALSE)</f>
        <v>23658</v>
      </c>
      <c r="P9" s="22">
        <v>0</v>
      </c>
    </row>
    <row r="10" spans="1:18" x14ac:dyDescent="0.3">
      <c r="A10" s="12" t="s">
        <v>19</v>
      </c>
      <c r="B10" s="22">
        <f>+HLOOKUP([69]INPUT_Date.Etc!$B$4,[69]Delaware!$A$4:$P$57,11, FALSE)</f>
        <v>293471</v>
      </c>
      <c r="C10" s="22">
        <f>+HLOOKUP([69]INPUT_Date.Etc!$B$4,[69]Maryland!$A$4:$P$57,11, FALSE)</f>
        <v>157718</v>
      </c>
      <c r="D10" s="22">
        <f>+HLOOKUP([69]INPUT_Date.Etc!$B$4,[69]WorcesterCounty!$A$4:$P$57,11, FALSE)</f>
        <v>18245</v>
      </c>
      <c r="E10" s="22">
        <f>+HLOOKUP([69]INPUT_Date.Etc!$B$4,[69]CFG!$A$4:$P$57,11, FALSE)</f>
        <v>618067.19252118026</v>
      </c>
      <c r="F10" s="22">
        <f>+HLOOKUP([69]INPUT_Date.Etc!$B$4,[69]FPUNG!$A$4:$P$116,11, FALSE)</f>
        <v>370265.84867075662</v>
      </c>
      <c r="G10" s="22">
        <f>+HLOOKUP([69]INPUT_Date.Etc!$B$4,[69]Electric!$E$4:$P$57,11, FALSE)</f>
        <v>200</v>
      </c>
      <c r="H10" s="22">
        <v>0</v>
      </c>
      <c r="I10" s="23"/>
      <c r="J10" s="22">
        <f>+HLOOKUP([69]INPUT_Date.Etc!$B$4,[69]Delaware!$T$4:$AI$52,11, FALSE)</f>
        <v>280291</v>
      </c>
      <c r="K10" s="22">
        <f>+HLOOKUP([69]INPUT_Date.Etc!$B$4,[69]Maryland!$T$4:$AI$52,11, FALSE)</f>
        <v>143706</v>
      </c>
      <c r="L10" s="22">
        <f>+HLOOKUP([69]INPUT_Date.Etc!$B$4,[69]WorcesterCounty!$T$4:$AI$52,11, FALSE)</f>
        <v>6444</v>
      </c>
      <c r="M10" s="22">
        <f>+HLOOKUP([69]INPUT_Date.Etc!$B$4,[69]CFG!$T$4:$AI$52,11, FALSE)</f>
        <v>1136489.2394585647</v>
      </c>
      <c r="N10" s="22">
        <f>+HLOOKUP([69]INPUT_Date.Etc!$B$4,[69]FPUNG!$T$4:$AI$116,11, FALSE)</f>
        <v>332195</v>
      </c>
      <c r="O10" s="22">
        <f>+HLOOKUP([69]INPUT_Date.Etc!$B$4,[69]Electric!$T$4:$AI$43,11, FALSE)</f>
        <v>3050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+HLOOKUP([69]INPUT_Date.Etc!$B$4,[69]ESNG!$A$4:$P$71,11,FALSE)</f>
        <v>4883139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+HLOOKUP([69]INPUT_Date.Etc!$B$4,[69]ESNG!$T$4:$AI$58,11, FALSE)</f>
        <v>4079434</v>
      </c>
    </row>
    <row r="12" spans="1:18" x14ac:dyDescent="0.3">
      <c r="A12" s="12" t="s">
        <v>21</v>
      </c>
      <c r="B12" s="22">
        <f>+HLOOKUP([69]INPUT_Date.Etc!$B$4,[69]Delaware!$A$4:$P$57,12, FALSE)</f>
        <v>6156</v>
      </c>
      <c r="C12" s="22">
        <f>+HLOOKUP([69]INPUT_Date.Etc!$B$4,[69]Maryland!$A$4:$P$57,12, FALSE)</f>
        <v>0</v>
      </c>
      <c r="D12" s="22">
        <f>+HLOOKUP([69]INPUT_Date.Etc!$B$4,[69]WorcesterCounty!$A$4:$P$57,12, FALSE)</f>
        <v>0</v>
      </c>
      <c r="E12" s="22">
        <f>+HLOOKUP([69]INPUT_Date.Etc!$B$4,[69]CFG!$A$4:$P$57,12, FALSE)</f>
        <v>0</v>
      </c>
      <c r="F12" s="22">
        <f>+HLOOKUP([69]INPUT_Date.Etc!$B$4,[69]FPUNG!$A$4:$P$116,12, FALSE)</f>
        <v>126.20508326029798</v>
      </c>
      <c r="G12" s="22">
        <f>+HLOOKUP([69]INPUT_Date.Etc!$B$4,[69]Electric!$E$4:$P$57,12, FALSE)</f>
        <v>623.15599999999995</v>
      </c>
      <c r="H12" s="22">
        <f>+HLOOKUP([69]INPUT_Date.Etc!$B$4,[69]ESNG!$A$4:$P$71,12,FALSE)</f>
        <v>45148</v>
      </c>
      <c r="I12" s="23"/>
      <c r="J12" s="22">
        <f>+HLOOKUP([69]INPUT_Date.Etc!$B$4,[69]Delaware!$T$4:$AI$52,12, FALSE)</f>
        <v>5963</v>
      </c>
      <c r="K12" s="22">
        <f>+HLOOKUP([69]INPUT_Date.Etc!$B$4,[69]Maryland!$T$4:$AI$52,12, FALSE)</f>
        <v>0</v>
      </c>
      <c r="L12" s="22">
        <f>+HLOOKUP([69]INPUT_Date.Etc!$B$4,[69]WorcesterCounty!$A$4:$P$57,12, FALSE)</f>
        <v>0</v>
      </c>
      <c r="M12" s="22">
        <f>+HLOOKUP([69]INPUT_Date.Etc!$B$4,[69]CFG!$T$4:$AI$52,12, FALSE)</f>
        <v>0</v>
      </c>
      <c r="N12" s="22">
        <f>+HLOOKUP([69]INPUT_Date.Etc!$B$4,[69]FPUNG!$T$4:$AI$116,12, FALSE)</f>
        <v>851</v>
      </c>
      <c r="O12" s="22">
        <f>+HLOOKUP([69]INPUT_Date.Etc!$B$4,[69]Electric!$T$4:$AI$43,12, FALSE)</f>
        <v>-1381</v>
      </c>
      <c r="P12" s="22">
        <f>+HLOOKUP([69]INPUT_Date.Etc!$B$4,[69]ESNG!$T$4:$AI$58,12, FALSE)</f>
        <v>374461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+HLOOKUP([69]INPUT_Date.Etc!$B$4,[69]ESNG!$A$4:$P$71,13,FALSE)</f>
        <v>-1514939</v>
      </c>
      <c r="I13" s="23"/>
      <c r="J13" s="22">
        <f>+[69]Delaware!V10</f>
        <v>0</v>
      </c>
      <c r="K13" s="22">
        <f>+[69]Maryland!W10</f>
        <v>0</v>
      </c>
      <c r="L13" s="22">
        <v>0</v>
      </c>
      <c r="M13" s="22">
        <f>+[69]CFG!X10</f>
        <v>0</v>
      </c>
      <c r="N13" s="24">
        <v>0</v>
      </c>
      <c r="O13" s="22">
        <v>0</v>
      </c>
      <c r="P13" s="22">
        <f>+HLOOKUP([69]INPUT_Date.Etc!$B$4,[69]ESNG!$T$4:$AI$58,13, FALSE)</f>
        <v>-997784</v>
      </c>
    </row>
    <row r="14" spans="1:18" ht="15" thickBot="1" x14ac:dyDescent="0.35">
      <c r="A14" s="72" t="s">
        <v>180</v>
      </c>
      <c r="B14" s="27">
        <f t="shared" ref="B14:H14" si="0">SUM(B8:B13)</f>
        <v>931602</v>
      </c>
      <c r="C14" s="27">
        <f t="shared" si="0"/>
        <v>328561</v>
      </c>
      <c r="D14" s="27">
        <f t="shared" si="0"/>
        <v>77625</v>
      </c>
      <c r="E14" s="27">
        <f t="shared" si="0"/>
        <v>1625194.5661700261</v>
      </c>
      <c r="F14" s="27">
        <f t="shared" si="0"/>
        <v>682595.7736877983</v>
      </c>
      <c r="G14" s="27">
        <f t="shared" si="0"/>
        <v>42788.08</v>
      </c>
      <c r="H14" s="27">
        <f t="shared" si="0"/>
        <v>3413348</v>
      </c>
      <c r="I14" s="23"/>
      <c r="J14" s="27">
        <f t="shared" ref="J14:P14" si="1">SUM(J8:J13)</f>
        <v>733896</v>
      </c>
      <c r="K14" s="27">
        <f t="shared" si="1"/>
        <v>262862</v>
      </c>
      <c r="L14" s="27">
        <f>SUM(L8:L13)</f>
        <v>53944</v>
      </c>
      <c r="M14" s="27">
        <f t="shared" si="1"/>
        <v>1607156.0035056968</v>
      </c>
      <c r="N14" s="27">
        <f t="shared" si="1"/>
        <v>647452</v>
      </c>
      <c r="O14" s="27">
        <f t="shared" si="1"/>
        <v>44951</v>
      </c>
      <c r="P14" s="27">
        <f t="shared" si="1"/>
        <v>3456111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+VLOOKUP([69]INPUT_Date.Etc!$B$4,[69]INPUT_Date.Etc!$A$14:$P$25,[69]INPUT_Date.Etc!$O$12)</f>
        <v>Volume for the Twelve Months ended December 31, 2016</v>
      </c>
      <c r="E17" s="74"/>
      <c r="F17" s="19"/>
      <c r="G17" s="19"/>
      <c r="H17" s="19"/>
      <c r="I17" s="75"/>
      <c r="J17" s="23"/>
      <c r="K17" s="15" t="str">
        <f>+VLOOKUP([69]INPUT_Date.Etc!$B$4,[69]INPUT_Date.Etc!$A$14:$P$25,[69]INPUT_Date.Etc!$P$12)</f>
        <v>Volume for the Twelve Months ended December 31, 2015</v>
      </c>
      <c r="L17" s="15" t="str">
        <f>+VLOOKUP([69]INPUT_Date.Etc!$B$4,[69]INPUT_Date.Etc!$A$14:$P$25,[69]INPUT_Date.Etc!$O$12)</f>
        <v>Volume for the Twelve Months ended December 31, 2016</v>
      </c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+HLOOKUP([69]INPUT_Date.Etc!$B$4,[69]Delaware!$A$4:$P$57,38, FALSE)</f>
        <v>2358386</v>
      </c>
      <c r="C19" s="22">
        <f>+HLOOKUP([69]INPUT_Date.Etc!$B$4,[69]Maryland!$A$4:$P$57,38, FALSE)</f>
        <v>476810</v>
      </c>
      <c r="D19" s="22">
        <f>+HLOOKUP([69]INPUT_Date.Etc!$B$4,[69]WorcesterCounty!$A$4:$P$57,38, FALSE)</f>
        <v>223336</v>
      </c>
      <c r="E19" s="22">
        <f>+HLOOKUP([69]INPUT_Date.Etc!$B$4,[69]CFG!$A$4:$P$57,38, FALSE)</f>
        <v>333977.77583016874</v>
      </c>
      <c r="F19" s="22">
        <f>+HLOOKUP([69]INPUT_Date.Etc!$B$4,[69]FPUNG!$A$4:$P$116,96, FALSE)</f>
        <v>1274618.4486318044</v>
      </c>
      <c r="G19" s="22">
        <f>+HLOOKUP([69]INPUT_Date.Etc!$B$4,[69]Electric!$E$4:$P$57,32, FALSE)</f>
        <v>303653.59399999998</v>
      </c>
      <c r="H19" s="22">
        <f>+HLOOKUP([69]INPUT_Date.Etc!$B$4,[69]ESNG!$E$11:$P$15,2, FALSE)</f>
        <v>0</v>
      </c>
      <c r="I19" s="23"/>
      <c r="J19" s="22">
        <f>+HLOOKUP([69]INPUT_Date.Etc!$B$4,[69]Delaware!$T$4:$AI$52,38, FALSE)</f>
        <v>2689939</v>
      </c>
      <c r="K19" s="22">
        <f>+HLOOKUP([69]INPUT_Date.Etc!$B$4,[69]Maryland!$T$4:$AI$52,38, FALSE)</f>
        <v>560347</v>
      </c>
      <c r="L19" s="22">
        <f>+HLOOKUP([69]INPUT_Date.Etc!$B$4,[69]WorcesterCounty!$A$4:$P$57,38, FALSE)</f>
        <v>223336</v>
      </c>
      <c r="M19" s="22">
        <f>+HLOOKUP([69]INPUT_Date.Etc!$B$4,[69]CFG!$T$4:$AI$52,38, FALSE)</f>
        <v>318645.11709806212</v>
      </c>
      <c r="N19" s="22">
        <f>+HLOOKUP([69]INPUT_Date.Etc!$B$4,[69]FPUNG!$T$4:$AI$116,96, FALSE)</f>
        <v>1215133.0395364724</v>
      </c>
      <c r="O19" s="22">
        <f>+HLOOKUP([69]INPUT_Date.Etc!$B$4,[69]Electric!$T$4:$AI$43,32, FALSE)</f>
        <v>303642.13800000004</v>
      </c>
      <c r="P19" s="22">
        <v>0</v>
      </c>
    </row>
    <row r="20" spans="1:18" x14ac:dyDescent="0.3">
      <c r="A20" s="12" t="s">
        <v>18</v>
      </c>
      <c r="B20" s="22">
        <f>+HLOOKUP([69]INPUT_Date.Etc!$B$4,[69]Delaware!$A$4:$P$57,39, FALSE)</f>
        <v>2004885</v>
      </c>
      <c r="C20" s="22">
        <f>+HLOOKUP([69]INPUT_Date.Etc!$B$4,[69]Maryland!$A$4:$P$57,39, FALSE)</f>
        <v>804855</v>
      </c>
      <c r="D20" s="22">
        <f>+HLOOKUP([69]INPUT_Date.Etc!$B$4,[69]WorcesterCounty!$A$4:$P$57,39, FALSE)</f>
        <v>419965</v>
      </c>
      <c r="E20" s="22">
        <f>+HLOOKUP([69]INPUT_Date.Etc!$B$4,[69]CFG!$A$4:$P$57,39, FALSE)</f>
        <v>5901711.5220566764</v>
      </c>
      <c r="F20" s="22">
        <f>+HLOOKUP([69]INPUT_Date.Etc!$B$4,[69]FPUNG!$A$4:$P$116,97, FALSE)</f>
        <v>2077946.2477359043</v>
      </c>
      <c r="G20" s="22">
        <f>+HLOOKUP([69]INPUT_Date.Etc!$B$4,[69]Electric!$E$4:$P$57,33, FALSE)</f>
        <v>304457.66300000006</v>
      </c>
      <c r="H20" s="22">
        <f>+HLOOKUP([69]INPUT_Date.Etc!$B$4,[69]ESNG!$E$11:$P$15,3, FALSE)</f>
        <v>0</v>
      </c>
      <c r="I20" s="23"/>
      <c r="J20" s="22">
        <f>+HLOOKUP([69]INPUT_Date.Etc!$B$4,[69]Delaware!$T$4:$AI$52,39, FALSE)</f>
        <v>2176818</v>
      </c>
      <c r="K20" s="22">
        <f>+HLOOKUP([69]INPUT_Date.Etc!$B$4,[69]Maryland!$T$4:$AI$52,39, FALSE)</f>
        <v>861998</v>
      </c>
      <c r="L20" s="22">
        <f>+HLOOKUP([69]INPUT_Date.Etc!$B$4,[69]WorcesterCounty!$A$4:$P$57,39, FALSE)</f>
        <v>419965</v>
      </c>
      <c r="M20" s="22">
        <f>+HLOOKUP([69]INPUT_Date.Etc!$B$4,[69]CFG!$T$4:$AI$52,39, FALSE)</f>
        <v>5274821.3954163007</v>
      </c>
      <c r="N20" s="22">
        <f>+HLOOKUP([69]INPUT_Date.Etc!$B$4,[69]FPUNG!$T$4:$AI$116,97, FALSE)</f>
        <v>2354482.4883630341</v>
      </c>
      <c r="O20" s="22">
        <f>+HLOOKUP([69]INPUT_Date.Etc!$B$4,[69]Electric!$T$4:$AI$43,33, FALSE)</f>
        <v>313756.68099999998</v>
      </c>
      <c r="P20" s="22">
        <v>0</v>
      </c>
    </row>
    <row r="21" spans="1:18" x14ac:dyDescent="0.3">
      <c r="A21" s="12" t="s">
        <v>19</v>
      </c>
      <c r="B21" s="22">
        <f>+HLOOKUP([69]INPUT_Date.Etc!$B$4,[69]Delaware!$A$4:$P$57,40, FALSE)</f>
        <v>3036274</v>
      </c>
      <c r="C21" s="22">
        <f>+HLOOKUP([69]INPUT_Date.Etc!$B$4,[69]Maryland!$A$4:$P$57,40, FALSE)</f>
        <v>1640298</v>
      </c>
      <c r="D21" s="22">
        <f>+HLOOKUP([69]INPUT_Date.Etc!$B$4,[69]WorcesterCounty!$A$4:$P$57,40, FALSE)</f>
        <v>96196</v>
      </c>
      <c r="E21" s="22">
        <f>+HLOOKUP([69]INPUT_Date.Etc!$B$4,[69]CFG!$A$4:$P$57,40, FALSE)</f>
        <v>10717532.314369461</v>
      </c>
      <c r="F21" s="22">
        <f>+HLOOKUP([69]INPUT_Date.Etc!$B$4,[69]FPUNG!$A$4:$P$116,98, FALSE)</f>
        <v>4182073.6436106316</v>
      </c>
      <c r="G21" s="22">
        <f>+HLOOKUP([69]INPUT_Date.Etc!$B$4,[69]Electric!$E$4:$P$57,34, FALSE)</f>
        <v>29700</v>
      </c>
      <c r="H21" s="22">
        <v>0</v>
      </c>
      <c r="I21" s="23"/>
      <c r="J21" s="22">
        <f>+HLOOKUP([69]INPUT_Date.Etc!$B$4,[69]Delaware!$T$4:$AI$52,40, FALSE)</f>
        <v>2853266</v>
      </c>
      <c r="K21" s="22">
        <f>+HLOOKUP([69]INPUT_Date.Etc!$B$4,[69]Maryland!$T$4:$AI$52,40, FALSE)</f>
        <v>1431238</v>
      </c>
      <c r="L21" s="22">
        <f>+HLOOKUP([69]INPUT_Date.Etc!$B$4,[69]WorcesterCounty!$A$4:$P$57,40, FALSE)</f>
        <v>96196</v>
      </c>
      <c r="M21" s="22">
        <f>+HLOOKUP([69]INPUT_Date.Etc!$B$4,[69]CFG!$T$4:$AI$52,40, FALSE)</f>
        <v>10714720.026967572</v>
      </c>
      <c r="N21" s="22">
        <f>+HLOOKUP([69]INPUT_Date.Etc!$B$4,[69]FPUNG!$T$4:$AI$116,98, FALSE)</f>
        <v>3883435.7124354853</v>
      </c>
      <c r="O21" s="22">
        <f>+HLOOKUP([69]INPUT_Date.Etc!$B$4,[69]Electric!$T$4:$AI$43,34, FALSE)</f>
        <v>18880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+HLOOKUP([69]INPUT_Date.Etc!$B$4,[69]ESNG!$A$4:$P$71,48,FALSE)</f>
        <v>51185112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+HLOOKUP([69]INPUT_Date.Etc!$B$4,[69]ESNG!$T$4:$AI$58,48, FALSE)</f>
        <v>41893289</v>
      </c>
    </row>
    <row r="23" spans="1:18" x14ac:dyDescent="0.3">
      <c r="A23" s="12" t="s">
        <v>21</v>
      </c>
      <c r="B23" s="22">
        <f>+HLOOKUP([69]INPUT_Date.Etc!$B$4,[69]Delaware!$A$4:$P$57,41, FALSE)</f>
        <v>88045</v>
      </c>
      <c r="C23" s="22">
        <f>+HLOOKUP([69]INPUT_Date.Etc!$B$4,[69]Maryland!$A$4:$P$57,41, FALSE)</f>
        <v>0</v>
      </c>
      <c r="D23" s="22">
        <f>+HLOOKUP([69]INPUT_Date.Etc!$B$4,[69]WorcesterCounty!$A$4:$P$57,41, FALSE)</f>
        <v>0</v>
      </c>
      <c r="E23" s="22">
        <f>+HLOOKUP([69]INPUT_Date.Etc!$B$4,[69]CFG!$A$4:$P$57,41, FALSE)</f>
        <v>0</v>
      </c>
      <c r="F23" s="22">
        <f>+HLOOKUP([69]INPUT_Date.Etc!$B$4,[69]FPUNG!$A$4:$P$116,99, FALSE)</f>
        <v>-4091.20839419612</v>
      </c>
      <c r="G23" s="22">
        <f>+HLOOKUP([69]INPUT_Date.Etc!$B$4,[69]Electric!$E$4:$P$57,35, FALSE)</f>
        <v>8483.7235199999996</v>
      </c>
      <c r="H23" s="22">
        <f>+HLOOKUP([69]INPUT_Date.Etc!$B$4,[69]ESNG!$A$4:$P$71,49,FALSE)</f>
        <v>1896731</v>
      </c>
      <c r="I23" s="23"/>
      <c r="J23" s="22">
        <f>+HLOOKUP([69]INPUT_Date.Etc!$B$4,[69]Delaware!$T$4:$AI$52,41, FALSE)</f>
        <v>78085</v>
      </c>
      <c r="K23" s="22">
        <f>+HLOOKUP([69]INPUT_Date.Etc!$B$4,[69]Maryland!$T$4:$AI$52,41, FALSE)</f>
        <v>0</v>
      </c>
      <c r="L23" s="22">
        <f>+HLOOKUP([69]INPUT_Date.Etc!$B$4,[69]WorcesterCounty!$A$4:$P$57,41, FALSE)</f>
        <v>0</v>
      </c>
      <c r="M23" s="22">
        <f>+HLOOKUP([69]INPUT_Date.Etc!$B$4,[69]CFG!$T$4:$AI$52,41, FALSE)</f>
        <v>0</v>
      </c>
      <c r="N23" s="22">
        <f>+HLOOKUP([69]INPUT_Date.Etc!$B$4,[69]FPUNG!$T$4:$AI$116,99, FALSE)</f>
        <v>-82543.286785470831</v>
      </c>
      <c r="O23" s="22">
        <f>+HLOOKUP([69]INPUT_Date.Etc!$B$4,[69]Electric!$T$4:$AI$43,35, FALSE)</f>
        <v>-1740.4154899999967</v>
      </c>
      <c r="P23" s="22">
        <f>+HLOOKUP([69]INPUT_Date.Etc!$B$4,[69]ESNG!$T$4:$AI$58,49, FALSE)</f>
        <v>5118002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+HLOOKUP([69]INPUT_Date.Etc!$B$4,[69]ESNG!$A$4:$P$71,50,FALSE)</f>
        <v>-11480210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+HLOOKUP([69]INPUT_Date.Etc!$B$4,[69]ESNG!$T$4:$AI$58,50, FALSE)</f>
        <v>-10947113</v>
      </c>
    </row>
    <row r="25" spans="1:18" ht="15" thickBot="1" x14ac:dyDescent="0.35">
      <c r="A25" s="72" t="s">
        <v>180</v>
      </c>
      <c r="B25" s="27">
        <f t="shared" ref="B25:H25" si="2">SUM(B19:B24)</f>
        <v>7487590</v>
      </c>
      <c r="C25" s="27">
        <f t="shared" si="2"/>
        <v>2921963</v>
      </c>
      <c r="D25" s="27">
        <f t="shared" si="2"/>
        <v>739497</v>
      </c>
      <c r="E25" s="76">
        <f t="shared" si="2"/>
        <v>16953221.612256303</v>
      </c>
      <c r="F25" s="76">
        <f t="shared" si="2"/>
        <v>7530547.1315841451</v>
      </c>
      <c r="G25" s="27">
        <f t="shared" si="2"/>
        <v>646294.98051999998</v>
      </c>
      <c r="H25" s="27">
        <f t="shared" si="2"/>
        <v>41601633</v>
      </c>
      <c r="I25" s="23"/>
      <c r="J25" s="27">
        <f t="shared" ref="J25:P25" si="3">SUM(J19:J24)</f>
        <v>7798108</v>
      </c>
      <c r="K25" s="27">
        <f t="shared" si="3"/>
        <v>2853583</v>
      </c>
      <c r="L25" s="27">
        <f>SUM(L19:L24)</f>
        <v>739497</v>
      </c>
      <c r="M25" s="27">
        <f t="shared" si="3"/>
        <v>16308186.539481934</v>
      </c>
      <c r="N25" s="27">
        <f t="shared" si="3"/>
        <v>7370507.9535495201</v>
      </c>
      <c r="O25" s="27">
        <f t="shared" si="3"/>
        <v>634538.40350999997</v>
      </c>
      <c r="P25" s="27">
        <f t="shared" si="3"/>
        <v>36064178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pageMargins left="0.7" right="0.7" top="0.75" bottom="0.75" header="0.3" footer="0.3"/>
  <pageSetup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8" sqref="D8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+[70]RegCust!G3</f>
        <v>For the Twelve Months ended December 31, 2017 and 2016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+VLOOKUP([70]INPUT_Date.Etc!$B$4,[70]INPUT_Date.Etc!$A$14:$P$25,[70]INPUT_Date.Etc!$M$12)</f>
        <v>Volume for the Month of December 2017</v>
      </c>
      <c r="E6" s="16"/>
      <c r="F6" s="17"/>
      <c r="G6" s="17"/>
      <c r="H6" s="17"/>
      <c r="I6" s="13"/>
      <c r="J6" s="69"/>
      <c r="K6" s="15"/>
      <c r="L6" s="15"/>
      <c r="M6" s="15" t="str">
        <f>+VLOOKUP([70]INPUT_Date.Etc!$B$4,[70]INPUT_Date.Etc!$A$14:$P$25,[70]INPUT_Date.Etc!$N$12)</f>
        <v>Volume for the Month of December 2016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+HLOOKUP([70]INPUT_Date.Etc!$B$4,[70]Delaware!$A$4:$P$57,9, FALSE)</f>
        <v>378128</v>
      </c>
      <c r="C8" s="22">
        <f>+HLOOKUP([70]INPUT_Date.Etc!$B$4,[70]Maryland!$A$4:$P$57,9, FALSE)</f>
        <v>71842</v>
      </c>
      <c r="D8" s="22">
        <f>+HLOOKUP([70]INPUT_Date.Etc!$B$4,[70]WorcesterCounty!$A$4:$P$57,9, FALSE)</f>
        <v>30950</v>
      </c>
      <c r="E8" s="22">
        <f>+HLOOKUP([70]INPUT_Date.Etc!$B$4,[70]CFG!$A$4:$P$57,9, FALSE)</f>
        <v>34925.50394390885</v>
      </c>
      <c r="F8" s="22">
        <f>+HLOOKUP([70]INPUT_Date.Etc!$B$4,[70]FPUNG!$A$4:$P$116,9, FALSE)</f>
        <v>141995.61787905349</v>
      </c>
      <c r="G8" s="22">
        <f>+HLOOKUP([70]INPUT_Date.Etc!$B$4,[70]Electric!$E$4:$P$59,9, FALSE)</f>
        <v>21323.411</v>
      </c>
      <c r="H8" s="22">
        <f>+HLOOKUP([70]INPUT_Date.Etc!$B$4,[70]ESNG!$E$11:$P$15,2, FALSE)</f>
        <v>0</v>
      </c>
      <c r="I8" s="23"/>
      <c r="J8" s="22">
        <f>+HLOOKUP([70]INPUT_Date.Etc!$B$4,[70]Delaware!$T$4:$AI$52,9, FALSE)</f>
        <v>347952</v>
      </c>
      <c r="K8" s="22">
        <f>+HLOOKUP([70]INPUT_Date.Etc!$B$4,[70]Maryland!$T$4:$AI$52,9, FALSE)</f>
        <v>66980</v>
      </c>
      <c r="L8" s="22">
        <f>+HLOOKUP([70]INPUT_Date.Etc!$B$4,[70]WorcesterCounty!$T$4:$AI$52,9, FALSE)</f>
        <v>32035</v>
      </c>
      <c r="M8" s="22">
        <f>+HLOOKUP([70]INPUT_Date.Etc!$B$4,[70]CFG!$T$4:$AI$52,9, FALSE)</f>
        <v>33296.62089784789</v>
      </c>
      <c r="N8" s="22">
        <f>+HLOOKUP([70]INPUT_Date.Etc!$B$4,[70]FPUNG!$T$4:$AI$116,9, FALSE)</f>
        <v>128922.97205180641</v>
      </c>
      <c r="O8" s="22">
        <f>+HLOOKUP([70]INPUT_Date.Etc!$B$4,[70]Electric!$T$4:$AI$45,9, FALSE)</f>
        <v>19705.948</v>
      </c>
      <c r="P8" s="22">
        <v>0</v>
      </c>
    </row>
    <row r="9" spans="1:18" x14ac:dyDescent="0.3">
      <c r="A9" s="12" t="s">
        <v>18</v>
      </c>
      <c r="B9" s="22">
        <f>+HLOOKUP([70]INPUT_Date.Etc!$B$4,[70]Delaware!$A$4:$P$57,10, FALSE)</f>
        <v>274132</v>
      </c>
      <c r="C9" s="22">
        <f>+HLOOKUP([70]INPUT_Date.Etc!$B$4,[70]Maryland!$A$4:$P$57,10, FALSE)</f>
        <v>85962</v>
      </c>
      <c r="D9" s="22">
        <f>+HLOOKUP([70]INPUT_Date.Etc!$B$4,[70]WorcesterCounty!$A$4:$P$57,10, FALSE)</f>
        <v>25283</v>
      </c>
      <c r="E9" s="22">
        <f>+HLOOKUP([70]INPUT_Date.Etc!$B$4,[70]CFG!$A$4:$P$57,10, FALSE)</f>
        <v>393809.52380952379</v>
      </c>
      <c r="F9" s="22">
        <f>+HLOOKUP([70]INPUT_Date.Etc!$B$4,[70]FPUNG!$A$4:$P$116,10, FALSE)</f>
        <v>164844.87291849253</v>
      </c>
      <c r="G9" s="22">
        <f>+HLOOKUP([70]INPUT_Date.Etc!$B$4,[70]Electric!$E$4:$P$59,10, FALSE)</f>
        <v>21949.866000000002</v>
      </c>
      <c r="H9" s="22">
        <f>+HLOOKUP([70]INPUT_Date.Etc!$B$4,[70]ESNG!$E$11:$P$15,3, FALSE)</f>
        <v>0</v>
      </c>
      <c r="I9" s="23"/>
      <c r="J9" s="22">
        <f>+HLOOKUP([70]INPUT_Date.Etc!$B$4,[70]Delaware!$T$4:$AI$52,10, FALSE)</f>
        <v>284023</v>
      </c>
      <c r="K9" s="22">
        <f>+HLOOKUP([70]INPUT_Date.Etc!$B$4,[70]Maryland!$T$4:$AI$52,10, FALSE)</f>
        <v>103863</v>
      </c>
      <c r="L9" s="22">
        <f>+HLOOKUP([70]INPUT_Date.Etc!$B$4,[70]WorcesterCounty!$T$4:$AI$52,10, FALSE)</f>
        <v>27345</v>
      </c>
      <c r="M9" s="22">
        <f>+HLOOKUP([70]INPUT_Date.Etc!$B$4,[70]CFG!$T$4:$AI$52,10, FALSE)</f>
        <v>968412.40627130191</v>
      </c>
      <c r="N9" s="22">
        <f>+HLOOKUP([70]INPUT_Date.Etc!$B$4,[70]FPUNG!$T$4:$AI$116,10, FALSE)</f>
        <v>183280.74788197488</v>
      </c>
      <c r="O9" s="22">
        <f>+HLOOKUP([70]INPUT_Date.Etc!$B$4,[70]Electric!$T$4:$AI$45,10, FALSE)</f>
        <v>22258.975999999999</v>
      </c>
      <c r="P9" s="22">
        <v>0</v>
      </c>
    </row>
    <row r="10" spans="1:18" x14ac:dyDescent="0.3">
      <c r="A10" s="12" t="s">
        <v>19</v>
      </c>
      <c r="B10" s="22">
        <f>+HLOOKUP([70]INPUT_Date.Etc!$B$4,[70]Delaware!$A$4:$P$57,11, FALSE)</f>
        <v>255681</v>
      </c>
      <c r="C10" s="22">
        <f>+HLOOKUP([70]INPUT_Date.Etc!$B$4,[70]Maryland!$A$4:$P$57,11, FALSE)</f>
        <v>162565</v>
      </c>
      <c r="D10" s="22">
        <f>+HLOOKUP([70]INPUT_Date.Etc!$B$4,[70]WorcesterCounty!$A$4:$P$57,11, FALSE)</f>
        <v>20040</v>
      </c>
      <c r="E10" s="22">
        <f>+HLOOKUP([70]INPUT_Date.Etc!$B$4,[70]CFG!$A$4:$P$57,11, FALSE)</f>
        <v>1105509.6893563152</v>
      </c>
      <c r="F10" s="22">
        <f>+HLOOKUP([70]INPUT_Date.Etc!$B$4,[70]FPUNG!$A$4:$P$116,11, FALSE)</f>
        <v>405827.34443470644</v>
      </c>
      <c r="G10" s="22">
        <f>+HLOOKUP([70]INPUT_Date.Etc!$B$4,[70]Electric!$E$4:$P$59,11, FALSE)</f>
        <v>2810</v>
      </c>
      <c r="H10" s="22">
        <v>0</v>
      </c>
      <c r="I10" s="23"/>
      <c r="J10" s="22">
        <f>+HLOOKUP([70]INPUT_Date.Etc!$B$4,[70]Delaware!$T$4:$AI$52,11, FALSE)</f>
        <v>293471</v>
      </c>
      <c r="K10" s="22">
        <f>+HLOOKUP([70]INPUT_Date.Etc!$B$4,[70]Maryland!$T$4:$AI$52,11, FALSE)</f>
        <v>157718</v>
      </c>
      <c r="L10" s="22">
        <f>+HLOOKUP([70]INPUT_Date.Etc!$B$4,[70]WorcesterCounty!$T$4:$AI$52,11, FALSE)</f>
        <v>18245</v>
      </c>
      <c r="M10" s="22">
        <f>+HLOOKUP([70]INPUT_Date.Etc!$B$4,[70]CFG!$T$4:$AI$52,11, FALSE)</f>
        <v>618067.19252118026</v>
      </c>
      <c r="N10" s="22">
        <f>+HLOOKUP([70]INPUT_Date.Etc!$B$4,[70]FPUNG!$T$4:$AI$116,11, FALSE)</f>
        <v>370265.84867075662</v>
      </c>
      <c r="O10" s="22">
        <f>+HLOOKUP([70]INPUT_Date.Etc!$B$4,[70]Electric!$T$4:$AI$45,11, FALSE)</f>
        <v>200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+HLOOKUP([70]INPUT_Date.Etc!$B$4,[70]ESNG!$A$4:$P$71,11,FALSE)</f>
        <v>5293304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+HLOOKUP([70]INPUT_Date.Etc!$B$4,[70]ESNG!$T$4:$AI$58,11, FALSE)</f>
        <v>4883139</v>
      </c>
    </row>
    <row r="12" spans="1:18" x14ac:dyDescent="0.3">
      <c r="A12" s="12" t="s">
        <v>21</v>
      </c>
      <c r="B12" s="22">
        <f>+HLOOKUP([70]INPUT_Date.Etc!$B$4,[70]Delaware!$A$4:$P$57,12, FALSE)</f>
        <v>6230</v>
      </c>
      <c r="C12" s="22">
        <f>+HLOOKUP([70]INPUT_Date.Etc!$B$4,[70]Maryland!$A$4:$P$57,12, FALSE)</f>
        <v>0</v>
      </c>
      <c r="D12" s="22">
        <f>+HLOOKUP([70]INPUT_Date.Etc!$B$4,[70]WorcesterCounty!$A$4:$P$57,12, FALSE)</f>
        <v>0</v>
      </c>
      <c r="E12" s="22">
        <f>+HLOOKUP([70]INPUT_Date.Etc!$B$4,[70]CFG!$A$4:$P$57,12, FALSE)</f>
        <v>0</v>
      </c>
      <c r="F12" s="22">
        <f>+HLOOKUP([70]INPUT_Date.Etc!$B$4,[70]FPUNG!$A$4:$P$116,12, FALSE)</f>
        <v>200526.92774369463</v>
      </c>
      <c r="G12" s="22">
        <f>+HLOOKUP([70]INPUT_Date.Etc!$B$4,[70]Electric!$E$4:$P$59,12, FALSE)</f>
        <v>629.47799999999995</v>
      </c>
      <c r="H12" s="22">
        <f>+HLOOKUP([70]INPUT_Date.Etc!$B$4,[70]ESNG!$A$4:$P$71,12,FALSE)</f>
        <v>91903</v>
      </c>
      <c r="I12" s="23"/>
      <c r="J12" s="22">
        <f>+HLOOKUP([70]INPUT_Date.Etc!$B$4,[70]Delaware!$T$4:$AI$52,12, FALSE)</f>
        <v>6156</v>
      </c>
      <c r="K12" s="22">
        <f>+HLOOKUP([70]INPUT_Date.Etc!$B$4,[70]Maryland!$T$4:$AI$52,12, FALSE)</f>
        <v>0</v>
      </c>
      <c r="L12" s="22">
        <f>+HLOOKUP([70]INPUT_Date.Etc!$B$4,[70]WorcesterCounty!$A$4:$P$57,12, FALSE)</f>
        <v>0</v>
      </c>
      <c r="M12" s="22">
        <f>+HLOOKUP([70]INPUT_Date.Etc!$B$4,[70]CFG!$T$4:$AI$52,12, FALSE)</f>
        <v>0</v>
      </c>
      <c r="N12" s="22">
        <f>+HLOOKUP([70]INPUT_Date.Etc!$B$4,[70]FPUNG!$T$4:$AI$116,12, FALSE)</f>
        <v>145751.39838348428</v>
      </c>
      <c r="O12" s="22">
        <f>+HLOOKUP([70]INPUT_Date.Etc!$B$4,[70]Electric!$T$4:$AI$45,12, FALSE)</f>
        <v>623.15599999999995</v>
      </c>
      <c r="P12" s="22">
        <f>+HLOOKUP([70]INPUT_Date.Etc!$B$4,[70]ESNG!$T$4:$AI$58,12, FALSE)</f>
        <v>45148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+HLOOKUP([70]INPUT_Date.Etc!$B$4,[70]ESNG!$A$4:$P$71,13,FALSE)</f>
        <v>-1709322</v>
      </c>
      <c r="I13" s="23"/>
      <c r="J13" s="22">
        <f>+[70]Delaware!V10</f>
        <v>0</v>
      </c>
      <c r="K13" s="22">
        <f>+[70]Maryland!W10</f>
        <v>0</v>
      </c>
      <c r="L13" s="22">
        <v>0</v>
      </c>
      <c r="M13" s="22">
        <f>+[70]CFG!X10</f>
        <v>0</v>
      </c>
      <c r="N13" s="24">
        <v>0</v>
      </c>
      <c r="O13" s="22">
        <v>0</v>
      </c>
      <c r="P13" s="22">
        <f>+HLOOKUP([70]INPUT_Date.Etc!$B$4,[70]ESNG!$T$4:$AI$58,13, FALSE)</f>
        <v>-1514939</v>
      </c>
    </row>
    <row r="14" spans="1:18" ht="15" thickBot="1" x14ac:dyDescent="0.35">
      <c r="A14" s="72" t="s">
        <v>180</v>
      </c>
      <c r="B14" s="27">
        <f t="shared" ref="B14:H14" si="0">SUM(B8:B13)</f>
        <v>914171</v>
      </c>
      <c r="C14" s="27">
        <f t="shared" si="0"/>
        <v>320369</v>
      </c>
      <c r="D14" s="27">
        <f t="shared" si="0"/>
        <v>76273</v>
      </c>
      <c r="E14" s="27">
        <f t="shared" si="0"/>
        <v>1534244.7171097477</v>
      </c>
      <c r="F14" s="27">
        <f t="shared" si="0"/>
        <v>913194.76297594712</v>
      </c>
      <c r="G14" s="27">
        <f t="shared" si="0"/>
        <v>46712.755000000005</v>
      </c>
      <c r="H14" s="27">
        <f t="shared" si="0"/>
        <v>3675885</v>
      </c>
      <c r="I14" s="23"/>
      <c r="J14" s="27">
        <f t="shared" ref="J14:P14" si="1">SUM(J8:J13)</f>
        <v>931602</v>
      </c>
      <c r="K14" s="27">
        <f t="shared" si="1"/>
        <v>328561</v>
      </c>
      <c r="L14" s="27">
        <f>SUM(L8:L13)</f>
        <v>77625</v>
      </c>
      <c r="M14" s="27">
        <f t="shared" si="1"/>
        <v>1619776.2196903301</v>
      </c>
      <c r="N14" s="27">
        <f t="shared" si="1"/>
        <v>828220.96698802221</v>
      </c>
      <c r="O14" s="27">
        <f t="shared" si="1"/>
        <v>42788.08</v>
      </c>
      <c r="P14" s="27">
        <f t="shared" si="1"/>
        <v>3413348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+VLOOKUP([70]INPUT_Date.Etc!$B$4,[70]INPUT_Date.Etc!$A$14:$P$25,[70]INPUT_Date.Etc!$O$12)</f>
        <v>Volume for the Twelve Months ended December 31, 2017</v>
      </c>
      <c r="E17" s="74"/>
      <c r="F17" s="19"/>
      <c r="G17" s="19"/>
      <c r="H17" s="19"/>
      <c r="I17" s="75"/>
      <c r="J17" s="23"/>
      <c r="K17" s="15" t="str">
        <f>+VLOOKUP([70]INPUT_Date.Etc!$B$4,[70]INPUT_Date.Etc!$A$14:$P$25,[70]INPUT_Date.Etc!$P$12)</f>
        <v>Volume for the Twelve Months ended December 31, 2016</v>
      </c>
      <c r="L17" s="15" t="str">
        <f>+VLOOKUP([70]INPUT_Date.Etc!$B$4,[70]INPUT_Date.Etc!$A$14:$P$25,[70]INPUT_Date.Etc!$O$12)</f>
        <v>Volume for the Twelve Months ended December 31, 2017</v>
      </c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+HLOOKUP([70]INPUT_Date.Etc!$B$4,[70]Delaware!$A$4:$P$57,38, FALSE)</f>
        <v>2512861</v>
      </c>
      <c r="C19" s="22">
        <f>+HLOOKUP([70]INPUT_Date.Etc!$B$4,[70]Maryland!$A$4:$P$57,38, FALSE)</f>
        <v>479043.8</v>
      </c>
      <c r="D19" s="22">
        <f>+HLOOKUP([70]INPUT_Date.Etc!$B$4,[70]WorcesterCounty!$A$4:$P$57,38, FALSE)</f>
        <v>220407</v>
      </c>
      <c r="E19" s="22">
        <f>+HLOOKUP([70]INPUT_Date.Etc!$B$4,[70]CFG!$A$4:$P$57,38, FALSE)</f>
        <v>329246.37257766095</v>
      </c>
      <c r="F19" s="22">
        <f>+HLOOKUP([70]INPUT_Date.Etc!$B$4,[70]FPUNG!$A$4:$P$116,96, FALSE)</f>
        <v>1315039.3417080536</v>
      </c>
      <c r="G19" s="22">
        <f>+HLOOKUP([70]INPUT_Date.Etc!$B$4,[70]Electric!$E$4:$P$59,32, FALSE)</f>
        <v>291510.49900000007</v>
      </c>
      <c r="H19" s="22">
        <f>+HLOOKUP([70]INPUT_Date.Etc!$B$4,[70]ESNG!$E$11:$P$15,2, FALSE)</f>
        <v>0</v>
      </c>
      <c r="I19" s="23"/>
      <c r="J19" s="22">
        <f>+HLOOKUP([70]INPUT_Date.Etc!$B$4,[70]Delaware!$T$4:$AI$52,38, FALSE)</f>
        <v>2358386</v>
      </c>
      <c r="K19" s="22">
        <f>+HLOOKUP([70]INPUT_Date.Etc!$B$4,[70]Maryland!$T$4:$AI$52,38, FALSE)</f>
        <v>476810</v>
      </c>
      <c r="L19" s="22">
        <f>+HLOOKUP([70]INPUT_Date.Etc!$B$4,[70]WorcesterCounty!$A$4:$P$57,38, FALSE)</f>
        <v>220407</v>
      </c>
      <c r="M19" s="22">
        <f>+HLOOKUP([70]INPUT_Date.Etc!$B$4,[70]CFG!$T$4:$AI$52,38, FALSE)</f>
        <v>333664.98977505136</v>
      </c>
      <c r="N19" s="22">
        <f>+HLOOKUP([70]INPUT_Date.Etc!$B$4,[70]FPUNG!$T$4:$AI$116,96, FALSE)</f>
        <v>1274618.4486318044</v>
      </c>
      <c r="O19" s="22">
        <f>+HLOOKUP([70]INPUT_Date.Etc!$B$4,[70]Electric!$T$4:$AI$45,32, FALSE)</f>
        <v>303653.59399999998</v>
      </c>
      <c r="P19" s="22">
        <v>0</v>
      </c>
    </row>
    <row r="20" spans="1:18" x14ac:dyDescent="0.3">
      <c r="A20" s="12" t="s">
        <v>18</v>
      </c>
      <c r="B20" s="22">
        <f>+HLOOKUP([70]INPUT_Date.Etc!$B$4,[70]Delaware!$A$4:$P$57,39, FALSE)</f>
        <v>2015952</v>
      </c>
      <c r="C20" s="22">
        <f>+HLOOKUP([70]INPUT_Date.Etc!$B$4,[70]Maryland!$A$4:$P$57,39, FALSE)</f>
        <v>774911</v>
      </c>
      <c r="D20" s="22">
        <f>+HLOOKUP([70]INPUT_Date.Etc!$B$4,[70]WorcesterCounty!$A$4:$P$57,39, FALSE)</f>
        <v>333243</v>
      </c>
      <c r="E20" s="22">
        <f>+HLOOKUP([70]INPUT_Date.Etc!$B$4,[70]CFG!$A$4:$P$57,39, FALSE)</f>
        <v>4993366.0531697348</v>
      </c>
      <c r="F20" s="22">
        <f>+HLOOKUP([70]INPUT_Date.Etc!$B$4,[70]FPUNG!$A$4:$P$116,97, FALSE)</f>
        <v>1814340.9290096406</v>
      </c>
      <c r="G20" s="22">
        <f>+HLOOKUP([70]INPUT_Date.Etc!$B$4,[70]Electric!$E$4:$P$59,33, FALSE)</f>
        <v>301667.57399999996</v>
      </c>
      <c r="H20" s="22">
        <f>+HLOOKUP([70]INPUT_Date.Etc!$B$4,[70]ESNG!$E$11:$P$15,3, FALSE)</f>
        <v>0</v>
      </c>
      <c r="I20" s="23"/>
      <c r="J20" s="22">
        <f>+HLOOKUP([70]INPUT_Date.Etc!$B$4,[70]Delaware!$T$4:$AI$52,39, FALSE)</f>
        <v>2004885</v>
      </c>
      <c r="K20" s="22">
        <f>+HLOOKUP([70]INPUT_Date.Etc!$B$4,[70]Maryland!$T$4:$AI$52,39, FALSE)</f>
        <v>804855</v>
      </c>
      <c r="L20" s="22">
        <f>+HLOOKUP([70]INPUT_Date.Etc!$B$4,[70]WorcesterCounty!$A$4:$P$57,39, FALSE)</f>
        <v>333243</v>
      </c>
      <c r="M20" s="22">
        <f>+HLOOKUP([70]INPUT_Date.Etc!$B$4,[70]CFG!$T$4:$AI$52,39, FALSE)</f>
        <v>5886173.3976044413</v>
      </c>
      <c r="N20" s="22">
        <f>+HLOOKUP([70]INPUT_Date.Etc!$B$4,[70]FPUNG!$T$4:$AI$116,97, FALSE)</f>
        <v>2077946.2477359043</v>
      </c>
      <c r="O20" s="22">
        <f>+HLOOKUP([70]INPUT_Date.Etc!$B$4,[70]Electric!$T$4:$AI$45,33, FALSE)</f>
        <v>304457.66300000006</v>
      </c>
      <c r="P20" s="22">
        <v>0</v>
      </c>
    </row>
    <row r="21" spans="1:18" x14ac:dyDescent="0.3">
      <c r="A21" s="12" t="s">
        <v>19</v>
      </c>
      <c r="B21" s="22">
        <f>+HLOOKUP([70]INPUT_Date.Etc!$B$4,[70]Delaware!$A$4:$P$57,40, FALSE)</f>
        <v>2974686</v>
      </c>
      <c r="C21" s="22">
        <f>+HLOOKUP([70]INPUT_Date.Etc!$B$4,[70]Maryland!$A$4:$P$57,40, FALSE)</f>
        <v>1708693</v>
      </c>
      <c r="D21" s="22">
        <f>+HLOOKUP([70]INPUT_Date.Etc!$B$4,[70]WorcesterCounty!$A$4:$P$57,40, FALSE)</f>
        <v>208693</v>
      </c>
      <c r="E21" s="22">
        <f>+HLOOKUP([70]INPUT_Date.Etc!$B$4,[70]CFG!$A$4:$P$57,40, FALSE)</f>
        <v>11244275.878858702</v>
      </c>
      <c r="F21" s="22">
        <f>+HLOOKUP([70]INPUT_Date.Etc!$B$4,[70]FPUNG!$A$4:$P$116,98, FALSE)</f>
        <v>4424749.3426818578</v>
      </c>
      <c r="G21" s="22">
        <f>+HLOOKUP([70]INPUT_Date.Etc!$B$4,[70]Electric!$E$4:$P$59,34, FALSE)</f>
        <v>27380</v>
      </c>
      <c r="H21" s="22">
        <v>0</v>
      </c>
      <c r="I21" s="23"/>
      <c r="J21" s="22">
        <f>+HLOOKUP([70]INPUT_Date.Etc!$B$4,[70]Delaware!$T$4:$AI$52,40, FALSE)</f>
        <v>3036274</v>
      </c>
      <c r="K21" s="22">
        <f>+HLOOKUP([70]INPUT_Date.Etc!$B$4,[70]Maryland!$T$4:$AI$52,40, FALSE)</f>
        <v>1640298</v>
      </c>
      <c r="L21" s="22">
        <f>+HLOOKUP([70]INPUT_Date.Etc!$B$4,[70]WorcesterCounty!$A$4:$P$57,40, FALSE)</f>
        <v>208693</v>
      </c>
      <c r="M21" s="22">
        <f>+HLOOKUP([70]INPUT_Date.Etc!$B$4,[70]CFG!$T$4:$AI$52,40, FALSE)</f>
        <v>10717532.314369461</v>
      </c>
      <c r="N21" s="22">
        <f>+HLOOKUP([70]INPUT_Date.Etc!$B$4,[70]FPUNG!$T$4:$AI$116,98, FALSE)</f>
        <v>4182073.6436106316</v>
      </c>
      <c r="O21" s="22">
        <f>+HLOOKUP([70]INPUT_Date.Etc!$B$4,[70]Electric!$T$4:$AI$45,34, FALSE)</f>
        <v>29700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+HLOOKUP([70]INPUT_Date.Etc!$B$4,[70]ESNG!$A$4:$P$71,48,FALSE)</f>
        <v>50296416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+HLOOKUP([70]INPUT_Date.Etc!$B$4,[70]ESNG!$T$4:$AI$58,48, FALSE)</f>
        <v>51185112</v>
      </c>
    </row>
    <row r="23" spans="1:18" x14ac:dyDescent="0.3">
      <c r="A23" s="12" t="s">
        <v>21</v>
      </c>
      <c r="B23" s="22">
        <f>+HLOOKUP([70]INPUT_Date.Etc!$B$4,[70]Delaware!$A$4:$P$57,41, FALSE)</f>
        <v>91114</v>
      </c>
      <c r="C23" s="22">
        <f>+HLOOKUP([70]INPUT_Date.Etc!$B$4,[70]Maryland!$A$4:$P$57,41, FALSE)</f>
        <v>0</v>
      </c>
      <c r="D23" s="22">
        <f>+HLOOKUP([70]INPUT_Date.Etc!$B$4,[70]WorcesterCounty!$A$4:$P$57,41, FALSE)</f>
        <v>0</v>
      </c>
      <c r="E23" s="22">
        <f>+HLOOKUP([70]INPUT_Date.Etc!$B$4,[70]CFG!$A$4:$P$57,41, FALSE)</f>
        <v>0</v>
      </c>
      <c r="F23" s="22">
        <f>+HLOOKUP([70]INPUT_Date.Etc!$B$4,[70]FPUNG!$A$4:$P$116,99, FALSE)</f>
        <v>1826625.8100107121</v>
      </c>
      <c r="G23" s="22">
        <f>+HLOOKUP([70]INPUT_Date.Etc!$B$4,[70]Electric!$E$4:$P$59,35, FALSE)</f>
        <v>7511.3280000000004</v>
      </c>
      <c r="H23" s="22">
        <f>+HLOOKUP([70]INPUT_Date.Etc!$B$4,[70]ESNG!$A$4:$P$71,49,FALSE)</f>
        <v>1344320</v>
      </c>
      <c r="I23" s="23"/>
      <c r="J23" s="22">
        <f>+HLOOKUP([70]INPUT_Date.Etc!$B$4,[70]Delaware!$T$4:$AI$52,41, FALSE)</f>
        <v>88045</v>
      </c>
      <c r="K23" s="22">
        <f>+HLOOKUP([70]INPUT_Date.Etc!$B$4,[70]Maryland!$T$4:$AI$52,41, FALSE)</f>
        <v>0</v>
      </c>
      <c r="L23" s="22">
        <f>+HLOOKUP([70]INPUT_Date.Etc!$B$4,[70]WorcesterCounty!$A$4:$P$57,41, FALSE)</f>
        <v>0</v>
      </c>
      <c r="M23" s="22">
        <f>+HLOOKUP([70]INPUT_Date.Etc!$B$4,[70]CFG!$T$4:$AI$52,41, FALSE)</f>
        <v>0</v>
      </c>
      <c r="N23" s="22">
        <f>+HLOOKUP([70]INPUT_Date.Etc!$B$4,[70]FPUNG!$T$4:$AI$116,99, FALSE)</f>
        <v>823952.30704060756</v>
      </c>
      <c r="O23" s="22">
        <f>+HLOOKUP([70]INPUT_Date.Etc!$B$4,[70]Electric!$T$4:$AI$45,35, FALSE)</f>
        <v>8483.7235199999996</v>
      </c>
      <c r="P23" s="22">
        <f>+HLOOKUP([70]INPUT_Date.Etc!$B$4,[70]ESNG!$T$4:$AI$58,49, FALSE)</f>
        <v>1896731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+HLOOKUP([70]INPUT_Date.Etc!$B$4,[70]ESNG!$A$4:$P$71,50,FALSE)</f>
        <v>-11373352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+HLOOKUP([70]INPUT_Date.Etc!$B$4,[70]ESNG!$T$4:$AI$58,50, FALSE)</f>
        <v>-11490210</v>
      </c>
    </row>
    <row r="25" spans="1:18" ht="15" thickBot="1" x14ac:dyDescent="0.35">
      <c r="A25" s="72" t="s">
        <v>180</v>
      </c>
      <c r="B25" s="27">
        <f t="shared" ref="B25:H25" si="2">SUM(B19:B24)</f>
        <v>7594613</v>
      </c>
      <c r="C25" s="27">
        <f t="shared" si="2"/>
        <v>2962647.8</v>
      </c>
      <c r="D25" s="27">
        <f t="shared" si="2"/>
        <v>762343</v>
      </c>
      <c r="E25" s="76">
        <f t="shared" si="2"/>
        <v>16566888.304606099</v>
      </c>
      <c r="F25" s="76">
        <f t="shared" si="2"/>
        <v>9380755.4234102648</v>
      </c>
      <c r="G25" s="27">
        <f t="shared" si="2"/>
        <v>628069.40100000007</v>
      </c>
      <c r="H25" s="27">
        <f t="shared" si="2"/>
        <v>40267384</v>
      </c>
      <c r="I25" s="23"/>
      <c r="J25" s="27">
        <f t="shared" ref="J25:P25" si="3">SUM(J19:J24)</f>
        <v>7487590</v>
      </c>
      <c r="K25" s="27">
        <f t="shared" si="3"/>
        <v>2921963</v>
      </c>
      <c r="L25" s="27">
        <f>SUM(L19:L24)</f>
        <v>762343</v>
      </c>
      <c r="M25" s="27">
        <f t="shared" si="3"/>
        <v>16937370.701748952</v>
      </c>
      <c r="N25" s="27">
        <f t="shared" si="3"/>
        <v>8358590.6470189486</v>
      </c>
      <c r="O25" s="27">
        <f t="shared" si="3"/>
        <v>646294.98051999998</v>
      </c>
      <c r="P25" s="27">
        <f t="shared" si="3"/>
        <v>41591633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pageMargins left="0.7" right="0.7" top="0.75" bottom="0.75" header="0.3" footer="0.3"/>
  <pageSetup scale="5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30"/>
  <sheetViews>
    <sheetView zoomScaleNormal="100" workbookViewId="0">
      <pane xSplit="1" ySplit="7" topLeftCell="D8" activePane="bottomRight" state="frozen"/>
      <selection sqref="A1:XFD1048576"/>
      <selection pane="topRight" sqref="A1:XFD1048576"/>
      <selection pane="bottomLeft" sqref="A1:XFD1048576"/>
      <selection pane="bottomRight" activeCell="O3" sqref="O3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+[71]RegCust!G3</f>
        <v>For the Twelve Months ended December 31, 2018 and 2017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+VLOOKUP([71]INPUT_Date.Etc!$B$4,[71]INPUT_Date.Etc!$A$14:$P$25,[71]INPUT_Date.Etc!$M$12)</f>
        <v>Volume for the Month of December 2018</v>
      </c>
      <c r="E6" s="16"/>
      <c r="F6" s="17"/>
      <c r="G6" s="17"/>
      <c r="H6" s="17"/>
      <c r="I6" s="13"/>
      <c r="J6" s="69"/>
      <c r="K6" s="15"/>
      <c r="L6" s="15"/>
      <c r="M6" s="15" t="str">
        <f>+VLOOKUP([71]INPUT_Date.Etc!$B$4,[71]INPUT_Date.Etc!$A$14:$P$25,[71]INPUT_Date.Etc!$N$12)</f>
        <v>Volume for the Month of December 2017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+HLOOKUP([71]INPUT_Date.Etc!$B$4,[71]Delaware!$A$4:$P$57,9, FALSE)</f>
        <v>465511</v>
      </c>
      <c r="C8" s="22">
        <f>+HLOOKUP([71]INPUT_Date.Etc!$B$4,[71]Maryland!$A$4:$P$57,9, FALSE)</f>
        <v>75439</v>
      </c>
      <c r="D8" s="22">
        <f>+HLOOKUP([71]INPUT_Date.Etc!$B$4,[71]Sandpiper!$A$4:$P$57,9, FALSE)</f>
        <v>36894</v>
      </c>
      <c r="E8" s="22">
        <f>+HLOOKUP([71]INPUT_Date.Etc!$B$4,[71]CFG!$A$4:$P$57,9, FALSE)</f>
        <v>41469.860745934362</v>
      </c>
      <c r="F8" s="22">
        <f>+HLOOKUP([71]INPUT_Date.Etc!$B$4,[71]FPUNG!$A$4:$P$116,9, FALSE)</f>
        <v>152653.61378907392</v>
      </c>
      <c r="G8" s="22">
        <f>+HLOOKUP([71]INPUT_Date.Etc!$B$4,[71]Electric!$E$4:$P$59,9, FALSE)</f>
        <v>36558</v>
      </c>
      <c r="H8" s="22">
        <f>+HLOOKUP([71]INPUT_Date.Etc!$B$4,[71]ESNG!$E$11:$P$15,2, FALSE)</f>
        <v>0</v>
      </c>
      <c r="I8" s="23"/>
      <c r="J8" s="22">
        <f>+HLOOKUP([71]INPUT_Date.Etc!$B$4,[71]Delaware!$T$4:$AI$52,9, FALSE)</f>
        <v>378128</v>
      </c>
      <c r="K8" s="22">
        <f>+HLOOKUP([71]INPUT_Date.Etc!$B$4,[71]Maryland!$T$4:$AI$52,9, FALSE)</f>
        <v>71842</v>
      </c>
      <c r="L8" s="22">
        <f>+HLOOKUP([71]INPUT_Date.Etc!$B$4,[71]Sandpiper!$T$4:$AI$52,9, FALSE)</f>
        <v>30950</v>
      </c>
      <c r="M8" s="22">
        <f>+HLOOKUP([71]INPUT_Date.Etc!$B$4,[71]CFG!$T$4:$AI$52,9, FALSE)</f>
        <v>34925.50394390885</v>
      </c>
      <c r="N8" s="22">
        <f>+HLOOKUP([71]INPUT_Date.Etc!$B$4,[71]FPUNG!$T$4:$AI$116,9, FALSE)</f>
        <v>141995.61787905349</v>
      </c>
      <c r="O8" s="22">
        <f>+HLOOKUP([71]INPUT_Date.Etc!$B$4,[71]Electric!$T$4:$AI$45,9, FALSE)</f>
        <v>21323.411</v>
      </c>
      <c r="P8" s="22">
        <v>0</v>
      </c>
    </row>
    <row r="9" spans="1:18" x14ac:dyDescent="0.3">
      <c r="A9" s="12" t="s">
        <v>18</v>
      </c>
      <c r="B9" s="22">
        <f>+HLOOKUP([71]INPUT_Date.Etc!$B$4,[71]Delaware!$A$4:$P$57,10, FALSE)</f>
        <v>308106</v>
      </c>
      <c r="C9" s="22">
        <f>+HLOOKUP([71]INPUT_Date.Etc!$B$4,[71]Maryland!$A$4:$P$57,10, FALSE)</f>
        <v>108229</v>
      </c>
      <c r="D9" s="22">
        <f>+HLOOKUP([71]INPUT_Date.Etc!$B$4,[71]Sandpiper!$A$4:$P$57,10, FALSE)</f>
        <v>23773</v>
      </c>
      <c r="E9" s="22">
        <f>+HLOOKUP([71]INPUT_Date.Etc!$B$4,[71]CFG!$A$4:$P$57,10, FALSE)</f>
        <v>390370.24052974972</v>
      </c>
      <c r="F9" s="22">
        <f>+HLOOKUP([71]INPUT_Date.Etc!$B$4,[71]FPUNG!$A$4:$P$116,10, FALSE)</f>
        <v>165399.69724413284</v>
      </c>
      <c r="G9" s="22">
        <f>+HLOOKUP([71]INPUT_Date.Etc!$B$4,[71]Electric!$E$4:$P$59,10, FALSE)</f>
        <v>43789</v>
      </c>
      <c r="H9" s="22">
        <f>+HLOOKUP([71]INPUT_Date.Etc!$B$4,[71]ESNG!$E$11:$P$15,3, FALSE)</f>
        <v>0</v>
      </c>
      <c r="I9" s="23"/>
      <c r="J9" s="22">
        <f>+HLOOKUP([71]INPUT_Date.Etc!$B$4,[71]Delaware!$T$4:$AI$52,10, FALSE)</f>
        <v>274132</v>
      </c>
      <c r="K9" s="22">
        <f>+HLOOKUP([71]INPUT_Date.Etc!$B$4,[71]Maryland!$T$4:$AI$52,10, FALSE)</f>
        <v>85962</v>
      </c>
      <c r="L9" s="22">
        <f>+HLOOKUP([71]INPUT_Date.Etc!$B$4,[71]Sandpiper!$T$4:$AI$52,10, FALSE)</f>
        <v>25283</v>
      </c>
      <c r="M9" s="22">
        <f>+HLOOKUP([71]INPUT_Date.Etc!$B$4,[71]CFG!$T$4:$AI$52,10, FALSE)</f>
        <v>393809.52380952379</v>
      </c>
      <c r="N9" s="22">
        <f>+HLOOKUP([71]INPUT_Date.Etc!$B$4,[71]FPUNG!$T$4:$AI$116,10, FALSE)</f>
        <v>164844.87291849253</v>
      </c>
      <c r="O9" s="22">
        <f>+HLOOKUP([71]INPUT_Date.Etc!$B$4,[71]Electric!$T$4:$AI$45,10, FALSE)</f>
        <v>21949.866000000002</v>
      </c>
      <c r="P9" s="22">
        <v>0</v>
      </c>
    </row>
    <row r="10" spans="1:18" x14ac:dyDescent="0.3">
      <c r="A10" s="12" t="s">
        <v>19</v>
      </c>
      <c r="B10" s="22">
        <f>+HLOOKUP([71]INPUT_Date.Etc!$B$4,[71]Delaware!$A$4:$P$57,11, FALSE)</f>
        <v>300687</v>
      </c>
      <c r="C10" s="22">
        <f>+HLOOKUP([71]INPUT_Date.Etc!$B$4,[71]Maryland!$A$4:$P$57,11, FALSE)</f>
        <v>176546</v>
      </c>
      <c r="D10" s="22">
        <f>+HLOOKUP([71]INPUT_Date.Etc!$B$4,[71]Sandpiper!$A$4:$P$57,11, FALSE)</f>
        <v>21287</v>
      </c>
      <c r="E10" s="22">
        <f>+HLOOKUP([71]INPUT_Date.Etc!$B$4,[71]CFG!$A$4:$P$57,11, FALSE)</f>
        <v>2345838.7379491674</v>
      </c>
      <c r="F10" s="22">
        <f>+HLOOKUP([71]INPUT_Date.Etc!$B$4,[71]FPUNG!$A$4:$P$116,11, FALSE)</f>
        <v>423890</v>
      </c>
      <c r="G10" s="22">
        <f>+HLOOKUP([71]INPUT_Date.Etc!$B$4,[71]Electric!$E$4:$P$59,11, FALSE)</f>
        <v>1190</v>
      </c>
      <c r="H10" s="22">
        <v>0</v>
      </c>
      <c r="I10" s="23"/>
      <c r="J10" s="22">
        <f>+HLOOKUP([71]INPUT_Date.Etc!$B$4,[71]Delaware!$T$4:$AI$52,11, FALSE)</f>
        <v>255681</v>
      </c>
      <c r="K10" s="22">
        <f>+HLOOKUP([71]INPUT_Date.Etc!$B$4,[71]Maryland!$T$4:$AI$52,11, FALSE)</f>
        <v>162565</v>
      </c>
      <c r="L10" s="22">
        <f>+HLOOKUP([71]INPUT_Date.Etc!$B$4,[71]Sandpiper!$T$4:$AI$52,11, FALSE)</f>
        <v>20040</v>
      </c>
      <c r="M10" s="22">
        <f>+HLOOKUP([71]INPUT_Date.Etc!$B$4,[71]CFG!$T$4:$AI$52,11, FALSE)</f>
        <v>1105509.6893563152</v>
      </c>
      <c r="N10" s="22">
        <f>+HLOOKUP([71]INPUT_Date.Etc!$B$4,[71]FPUNG!$T$4:$AI$116,11, FALSE)</f>
        <v>405827.34443470644</v>
      </c>
      <c r="O10" s="22">
        <f>+HLOOKUP([71]INPUT_Date.Etc!$B$4,[71]Electric!$T$4:$AI$45,11, FALSE)</f>
        <v>2810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+HLOOKUP([71]INPUT_Date.Etc!$B$4,[71]ESNG!$A$4:$P$71,11,FALSE)</f>
        <v>4033103.8450474641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+HLOOKUP([71]INPUT_Date.Etc!$B$4,[71]ESNG!$T$4:$AI$58,11, FALSE)</f>
        <v>5293304</v>
      </c>
    </row>
    <row r="12" spans="1:18" x14ac:dyDescent="0.3">
      <c r="A12" s="12" t="s">
        <v>21</v>
      </c>
      <c r="B12" s="22">
        <f>+HLOOKUP([71]INPUT_Date.Etc!$B$4,[71]Delaware!$A$4:$P$57,12, FALSE)</f>
        <v>7107</v>
      </c>
      <c r="C12" s="22">
        <f>+HLOOKUP([71]INPUT_Date.Etc!$B$4,[71]Maryland!$A$4:$P$57,12, FALSE)</f>
        <v>0</v>
      </c>
      <c r="D12" s="22">
        <f>+HLOOKUP([71]INPUT_Date.Etc!$B$4,[71]Sandpiper!$A$4:$P$57,12, FALSE)</f>
        <v>0</v>
      </c>
      <c r="E12" s="22">
        <f>+HLOOKUP([71]INPUT_Date.Etc!$B$4,[71]CFG!$A$4:$P$57,12, FALSE)</f>
        <v>0</v>
      </c>
      <c r="F12" s="22">
        <f>+HLOOKUP([71]INPUT_Date.Etc!$B$4,[71]FPUNG!$A$4:$P$116,12, FALSE)</f>
        <v>478462.78030966991</v>
      </c>
      <c r="G12" s="22">
        <f>+HLOOKUP([71]INPUT_Date.Etc!$B$4,[71]Electric!$E$4:$P$59,12, FALSE)</f>
        <v>1310</v>
      </c>
      <c r="H12" s="22">
        <f>+HLOOKUP([71]INPUT_Date.Etc!$B$4,[71]ESNG!$A$4:$P$71,12,FALSE)</f>
        <v>28971.138172403877</v>
      </c>
      <c r="I12" s="23"/>
      <c r="J12" s="22">
        <f>+HLOOKUP([71]INPUT_Date.Etc!$B$4,[71]Delaware!$T$4:$AI$52,12, FALSE)</f>
        <v>6230</v>
      </c>
      <c r="K12" s="22">
        <f>+HLOOKUP([71]INPUT_Date.Etc!$B$4,[71]Maryland!$T$4:$AI$52,12, FALSE)</f>
        <v>0</v>
      </c>
      <c r="L12" s="22">
        <f>+HLOOKUP([71]INPUT_Date.Etc!$B$4,[71]Sandpiper!$A$4:$P$57,12, FALSE)</f>
        <v>0</v>
      </c>
      <c r="M12" s="22">
        <f>+HLOOKUP([71]INPUT_Date.Etc!$B$4,[71]CFG!$T$4:$AI$52,12, FALSE)</f>
        <v>0</v>
      </c>
      <c r="N12" s="22">
        <f>+HLOOKUP([71]INPUT_Date.Etc!$B$4,[71]FPUNG!$T$4:$AI$116,12, FALSE)</f>
        <v>200526.92774369463</v>
      </c>
      <c r="O12" s="22">
        <f>+HLOOKUP([71]INPUT_Date.Etc!$B$4,[71]Electric!$T$4:$AI$45,12, FALSE)</f>
        <v>629.47799999999995</v>
      </c>
      <c r="P12" s="22">
        <f>+HLOOKUP([71]INPUT_Date.Etc!$B$4,[71]ESNG!$T$4:$AI$58,12, FALSE)</f>
        <v>91903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+HLOOKUP([71]INPUT_Date.Etc!$B$4,[71]ESNG!$A$4:$P$71,13,FALSE)</f>
        <v>-1555651.5485664974</v>
      </c>
      <c r="I13" s="23"/>
      <c r="J13" s="22">
        <f>+[71]Delaware!V10</f>
        <v>0</v>
      </c>
      <c r="K13" s="22">
        <f>+[71]Maryland!W10</f>
        <v>0</v>
      </c>
      <c r="L13" s="22">
        <v>0</v>
      </c>
      <c r="M13" s="22">
        <f>+[71]CFG!X10</f>
        <v>0</v>
      </c>
      <c r="N13" s="24">
        <v>0</v>
      </c>
      <c r="O13" s="22">
        <v>0</v>
      </c>
      <c r="P13" s="22">
        <f>+HLOOKUP([71]INPUT_Date.Etc!$B$4,[71]ESNG!$T$4:$AI$58,13, FALSE)</f>
        <v>-1709322</v>
      </c>
    </row>
    <row r="14" spans="1:18" ht="15" thickBot="1" x14ac:dyDescent="0.35">
      <c r="A14" s="72" t="s">
        <v>180</v>
      </c>
      <c r="B14" s="27">
        <f t="shared" ref="B14:H14" si="0">SUM(B8:B13)</f>
        <v>1081411</v>
      </c>
      <c r="C14" s="27">
        <f t="shared" si="0"/>
        <v>360214</v>
      </c>
      <c r="D14" s="27">
        <f t="shared" si="0"/>
        <v>81954</v>
      </c>
      <c r="E14" s="27">
        <f t="shared" si="0"/>
        <v>2777678.8392248517</v>
      </c>
      <c r="F14" s="27">
        <f t="shared" si="0"/>
        <v>1220406.0913428767</v>
      </c>
      <c r="G14" s="27">
        <f t="shared" si="0"/>
        <v>82847</v>
      </c>
      <c r="H14" s="27">
        <f t="shared" si="0"/>
        <v>2506423.4346533706</v>
      </c>
      <c r="I14" s="23"/>
      <c r="J14" s="27">
        <f t="shared" ref="J14:P14" si="1">SUM(J8:J13)</f>
        <v>914171</v>
      </c>
      <c r="K14" s="27">
        <f t="shared" si="1"/>
        <v>320369</v>
      </c>
      <c r="L14" s="27">
        <f>SUM(L8:L13)</f>
        <v>76273</v>
      </c>
      <c r="M14" s="27">
        <f t="shared" si="1"/>
        <v>1534244.7171097477</v>
      </c>
      <c r="N14" s="27">
        <f t="shared" si="1"/>
        <v>913194.76297594712</v>
      </c>
      <c r="O14" s="27">
        <f t="shared" si="1"/>
        <v>46712.755000000005</v>
      </c>
      <c r="P14" s="27">
        <f t="shared" si="1"/>
        <v>3675885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+VLOOKUP([71]INPUT_Date.Etc!$B$4,[71]INPUT_Date.Etc!$A$14:$P$25,[71]INPUT_Date.Etc!$O$12)</f>
        <v>Volume for the Twelve Months ended December 31, 2018</v>
      </c>
      <c r="E17" s="74"/>
      <c r="F17" s="19"/>
      <c r="G17" s="19"/>
      <c r="H17" s="19"/>
      <c r="I17" s="75"/>
      <c r="J17" s="23"/>
      <c r="K17" s="15" t="str">
        <f>+VLOOKUP([71]INPUT_Date.Etc!$B$4,[71]INPUT_Date.Etc!$A$14:$P$25,[71]INPUT_Date.Etc!$P$12)</f>
        <v>Volume for the Twelve Months ended December 31, 2017</v>
      </c>
      <c r="L17" s="15" t="str">
        <f>+VLOOKUP([71]INPUT_Date.Etc!$B$4,[71]INPUT_Date.Etc!$A$14:$P$25,[71]INPUT_Date.Etc!$O$12)</f>
        <v>Volume for the Twelve Months ended December 31, 2018</v>
      </c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+HLOOKUP([71]INPUT_Date.Etc!$B$4,[71]Delaware!$A$4:$P$57,38, FALSE)</f>
        <v>3123423</v>
      </c>
      <c r="C19" s="22">
        <f>+HLOOKUP([71]INPUT_Date.Etc!$B$4,[71]Maryland!$A$4:$P$57,38, FALSE)</f>
        <v>562939</v>
      </c>
      <c r="D19" s="22">
        <f>+HLOOKUP([71]INPUT_Date.Etc!$B$4,[71]Sandpiper!$A$4:$P$57,38, FALSE)</f>
        <v>276425</v>
      </c>
      <c r="E19" s="22">
        <f>+HLOOKUP([71]INPUT_Date.Etc!$B$4,[71]CFG!$A$4:$P$57,38, FALSE)</f>
        <v>359398.38348427304</v>
      </c>
      <c r="F19" s="22">
        <f>+HLOOKUP([71]INPUT_Date.Etc!$B$4,[71]FPUNG!$A$4:$P$116,96, FALSE)</f>
        <v>1357274.1786804965</v>
      </c>
      <c r="G19" s="22">
        <f>+HLOOKUP([71]INPUT_Date.Etc!$B$4,[71]Electric!$E$4:$P$59,32, FALSE)</f>
        <v>307269.28200000001</v>
      </c>
      <c r="H19" s="22">
        <f>+HLOOKUP([71]INPUT_Date.Etc!$B$4,[71]ESNG!$E$11:$P$15,2, FALSE)</f>
        <v>0</v>
      </c>
      <c r="I19" s="23"/>
      <c r="J19" s="22">
        <f>+HLOOKUP([71]INPUT_Date.Etc!$B$4,[71]Delaware!$T$4:$AI$52,38, FALSE)</f>
        <v>2512861</v>
      </c>
      <c r="K19" s="22">
        <f>+HLOOKUP([71]INPUT_Date.Etc!$B$4,[71]Maryland!$T$4:$AI$52,38, FALSE)</f>
        <v>479043.8</v>
      </c>
      <c r="L19" s="22">
        <f>+HLOOKUP([71]INPUT_Date.Etc!$B$4,[71]Sandpiper!$A$4:$P$57,38, FALSE)</f>
        <v>276425</v>
      </c>
      <c r="M19" s="22">
        <f>+HLOOKUP([71]INPUT_Date.Etc!$B$4,[71]CFG!$T$4:$AI$52,38, FALSE)</f>
        <v>329246.37257766095</v>
      </c>
      <c r="N19" s="22">
        <f>+HLOOKUP([71]INPUT_Date.Etc!$B$4,[71]FPUNG!$T$4:$AI$116,96, FALSE)</f>
        <v>1315039.3417080536</v>
      </c>
      <c r="O19" s="22">
        <f>+HLOOKUP([71]INPUT_Date.Etc!$B$4,[71]Electric!$T$4:$AI$45,32, FALSE)</f>
        <v>291510.49900000007</v>
      </c>
      <c r="P19" s="22">
        <v>0</v>
      </c>
    </row>
    <row r="20" spans="1:18" x14ac:dyDescent="0.3">
      <c r="A20" s="12" t="s">
        <v>18</v>
      </c>
      <c r="B20" s="22">
        <f>+HLOOKUP([71]INPUT_Date.Etc!$B$4,[71]Delaware!$A$4:$P$57,39, FALSE)</f>
        <v>2413774</v>
      </c>
      <c r="C20" s="22">
        <f>+HLOOKUP([71]INPUT_Date.Etc!$B$4,[71]Maryland!$A$4:$P$57,39, FALSE)</f>
        <v>869437</v>
      </c>
      <c r="D20" s="22">
        <f>+HLOOKUP([71]INPUT_Date.Etc!$B$4,[71]Sandpiper!$A$4:$P$57,39, FALSE)</f>
        <v>345958</v>
      </c>
      <c r="E20" s="22">
        <f>+HLOOKUP([71]INPUT_Date.Etc!$B$4,[71]CFG!$A$4:$P$57,39, FALSE)</f>
        <v>4596092.6088226698</v>
      </c>
      <c r="F20" s="22">
        <f>+HLOOKUP([71]INPUT_Date.Etc!$B$4,[71]FPUNG!$A$4:$P$116,97, FALSE)</f>
        <v>1676967.2903437531</v>
      </c>
      <c r="G20" s="22">
        <f>+HLOOKUP([71]INPUT_Date.Etc!$B$4,[71]Electric!$E$4:$P$59,33, FALSE)</f>
        <v>302686.51299999998</v>
      </c>
      <c r="H20" s="22">
        <f>+HLOOKUP([71]INPUT_Date.Etc!$B$4,[71]ESNG!$E$11:$P$15,3, FALSE)</f>
        <v>0</v>
      </c>
      <c r="I20" s="23"/>
      <c r="J20" s="22">
        <f>+HLOOKUP([71]INPUT_Date.Etc!$B$4,[71]Delaware!$T$4:$AI$52,39, FALSE)</f>
        <v>2015952</v>
      </c>
      <c r="K20" s="22">
        <f>+HLOOKUP([71]INPUT_Date.Etc!$B$4,[71]Maryland!$T$4:$AI$52,39, FALSE)</f>
        <v>774911</v>
      </c>
      <c r="L20" s="22">
        <f>+HLOOKUP([71]INPUT_Date.Etc!$B$4,[71]Sandpiper!$A$4:$P$57,39, FALSE)</f>
        <v>345958</v>
      </c>
      <c r="M20" s="22">
        <f>+HLOOKUP([71]INPUT_Date.Etc!$B$4,[71]CFG!$T$4:$AI$52,39, FALSE)</f>
        <v>4993366.0531697348</v>
      </c>
      <c r="N20" s="22">
        <f>+HLOOKUP([71]INPUT_Date.Etc!$B$4,[71]FPUNG!$T$4:$AI$116,97, FALSE)</f>
        <v>1814340.9290096406</v>
      </c>
      <c r="O20" s="22">
        <f>+HLOOKUP([71]INPUT_Date.Etc!$B$4,[71]Electric!$T$4:$AI$45,33, FALSE)</f>
        <v>301667.57399999996</v>
      </c>
      <c r="P20" s="22">
        <v>0</v>
      </c>
    </row>
    <row r="21" spans="1:18" x14ac:dyDescent="0.3">
      <c r="A21" s="12" t="s">
        <v>19</v>
      </c>
      <c r="B21" s="22">
        <f>+HLOOKUP([71]INPUT_Date.Etc!$B$4,[71]Delaware!$A$4:$P$57,40, FALSE)</f>
        <v>3195092</v>
      </c>
      <c r="C21" s="22">
        <f>+HLOOKUP([71]INPUT_Date.Etc!$B$4,[71]Maryland!$A$4:$P$57,40, FALSE)</f>
        <v>1893278</v>
      </c>
      <c r="D21" s="22">
        <f>+HLOOKUP([71]INPUT_Date.Etc!$B$4,[71]Sandpiper!$A$4:$P$57,40, FALSE)</f>
        <v>227005</v>
      </c>
      <c r="E21" s="22">
        <f>+HLOOKUP([71]INPUT_Date.Etc!$B$4,[71]CFG!$A$4:$P$57,40, FALSE)</f>
        <v>19338137.59859772</v>
      </c>
      <c r="F21" s="22">
        <f>+HLOOKUP([71]INPUT_Date.Etc!$B$4,[71]FPUNG!$A$4:$P$116,98, FALSE)</f>
        <v>4772613.4965040414</v>
      </c>
      <c r="G21" s="22">
        <f>+HLOOKUP([71]INPUT_Date.Etc!$B$4,[71]Electric!$E$4:$P$59,34, FALSE)</f>
        <v>15160</v>
      </c>
      <c r="H21" s="22">
        <v>0</v>
      </c>
      <c r="I21" s="23"/>
      <c r="J21" s="22">
        <f>+HLOOKUP([71]INPUT_Date.Etc!$B$4,[71]Delaware!$T$4:$AI$52,40, FALSE)</f>
        <v>2974686</v>
      </c>
      <c r="K21" s="22">
        <f>+HLOOKUP([71]INPUT_Date.Etc!$B$4,[71]Maryland!$T$4:$AI$52,40, FALSE)</f>
        <v>1708693</v>
      </c>
      <c r="L21" s="22">
        <f>+HLOOKUP([71]INPUT_Date.Etc!$B$4,[71]Sandpiper!$A$4:$P$57,40, FALSE)</f>
        <v>227005</v>
      </c>
      <c r="M21" s="22">
        <f>+HLOOKUP([71]INPUT_Date.Etc!$B$4,[71]CFG!$T$4:$AI$52,40, FALSE)</f>
        <v>11244275.878858702</v>
      </c>
      <c r="N21" s="22">
        <f>+HLOOKUP([71]INPUT_Date.Etc!$B$4,[71]FPUNG!$T$4:$AI$116,98, FALSE)</f>
        <v>4424749.3426818578</v>
      </c>
      <c r="O21" s="22">
        <f>+HLOOKUP([71]INPUT_Date.Etc!$B$4,[71]Electric!$T$4:$AI$45,34, FALSE)</f>
        <v>27380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+HLOOKUP([71]INPUT_Date.Etc!$B$4,[71]ESNG!$A$4:$P$71,48,FALSE)</f>
        <v>44922738.769770481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+HLOOKUP([71]INPUT_Date.Etc!$B$4,[71]ESNG!$T$4:$AI$58,48, FALSE)</f>
        <v>50296416</v>
      </c>
    </row>
    <row r="23" spans="1:18" x14ac:dyDescent="0.3">
      <c r="A23" s="12" t="s">
        <v>21</v>
      </c>
      <c r="B23" s="22">
        <f>+HLOOKUP([71]INPUT_Date.Etc!$B$4,[71]Delaware!$A$4:$P$57,41, FALSE)</f>
        <v>76915</v>
      </c>
      <c r="C23" s="22">
        <f>+HLOOKUP([71]INPUT_Date.Etc!$B$4,[71]Maryland!$A$4:$P$57,41, FALSE)</f>
        <v>0</v>
      </c>
      <c r="D23" s="22">
        <f>+HLOOKUP([71]INPUT_Date.Etc!$B$4,[71]Sandpiper!$A$4:$P$57,41, FALSE)</f>
        <v>0</v>
      </c>
      <c r="E23" s="22">
        <f>+HLOOKUP([71]INPUT_Date.Etc!$B$4,[71]CFG!$A$4:$P$57,41, FALSE)</f>
        <v>0</v>
      </c>
      <c r="F23" s="22">
        <f>+HLOOKUP([71]INPUT_Date.Etc!$B$4,[71]FPUNG!$A$4:$P$116,99, FALSE)</f>
        <v>2277547.9507108778</v>
      </c>
      <c r="G23" s="22">
        <f>+HLOOKUP([71]INPUT_Date.Etc!$B$4,[71]Electric!$E$4:$P$59,35, FALSE)</f>
        <v>7402.0550000000003</v>
      </c>
      <c r="H23" s="22">
        <f>+HLOOKUP([71]INPUT_Date.Etc!$B$4,[71]ESNG!$A$4:$P$71,49,FALSE)</f>
        <v>854651.74693211238</v>
      </c>
      <c r="I23" s="23"/>
      <c r="J23" s="22">
        <f>+HLOOKUP([71]INPUT_Date.Etc!$B$4,[71]Delaware!$T$4:$AI$52,41, FALSE)</f>
        <v>91114</v>
      </c>
      <c r="K23" s="22">
        <f>+HLOOKUP([71]INPUT_Date.Etc!$B$4,[71]Maryland!$T$4:$AI$52,41, FALSE)</f>
        <v>0</v>
      </c>
      <c r="L23" s="22">
        <f>+HLOOKUP([71]INPUT_Date.Etc!$B$4,[71]Sandpiper!$A$4:$P$57,41, FALSE)</f>
        <v>0</v>
      </c>
      <c r="M23" s="22">
        <f>+HLOOKUP([71]INPUT_Date.Etc!$B$4,[71]CFG!$T$4:$AI$52,41, FALSE)</f>
        <v>0</v>
      </c>
      <c r="N23" s="22">
        <f>+HLOOKUP([71]INPUT_Date.Etc!$B$4,[71]FPUNG!$T$4:$AI$116,99, FALSE)</f>
        <v>1826625.8100107121</v>
      </c>
      <c r="O23" s="22">
        <f>+HLOOKUP([71]INPUT_Date.Etc!$B$4,[71]Electric!$T$4:$AI$45,35, FALSE)</f>
        <v>7511.3280000000004</v>
      </c>
      <c r="P23" s="22">
        <f>+HLOOKUP([71]INPUT_Date.Etc!$B$4,[71]ESNG!$T$4:$AI$58,49, FALSE)</f>
        <v>1344320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+HLOOKUP([71]INPUT_Date.Etc!$B$4,[71]ESNG!$A$4:$P$71,50,FALSE)</f>
        <v>-12616392.034001116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+HLOOKUP([71]INPUT_Date.Etc!$B$4,[71]ESNG!$T$4:$AI$58,50, FALSE)</f>
        <v>-11373352</v>
      </c>
    </row>
    <row r="25" spans="1:18" ht="15" thickBot="1" x14ac:dyDescent="0.35">
      <c r="A25" s="72" t="s">
        <v>180</v>
      </c>
      <c r="B25" s="27">
        <f t="shared" ref="B25:H25" si="2">SUM(B19:B24)</f>
        <v>8809204</v>
      </c>
      <c r="C25" s="27">
        <f t="shared" si="2"/>
        <v>3325654</v>
      </c>
      <c r="D25" s="27">
        <f t="shared" si="2"/>
        <v>849388</v>
      </c>
      <c r="E25" s="76">
        <f t="shared" si="2"/>
        <v>24293628.590904664</v>
      </c>
      <c r="F25" s="76">
        <f t="shared" si="2"/>
        <v>10084402.916239168</v>
      </c>
      <c r="G25" s="27">
        <f t="shared" si="2"/>
        <v>632517.85</v>
      </c>
      <c r="H25" s="27">
        <f t="shared" si="2"/>
        <v>33160998.482701477</v>
      </c>
      <c r="I25" s="23"/>
      <c r="J25" s="27">
        <f t="shared" ref="J25:P25" si="3">SUM(J19:J24)</f>
        <v>7594613</v>
      </c>
      <c r="K25" s="27">
        <f t="shared" si="3"/>
        <v>2962647.8</v>
      </c>
      <c r="L25" s="27">
        <f>SUM(L19:L24)</f>
        <v>849388</v>
      </c>
      <c r="M25" s="27">
        <f t="shared" si="3"/>
        <v>16566888.304606099</v>
      </c>
      <c r="N25" s="27">
        <f t="shared" si="3"/>
        <v>9380755.4234102648</v>
      </c>
      <c r="O25" s="27">
        <f t="shared" si="3"/>
        <v>628069.40100000007</v>
      </c>
      <c r="P25" s="27">
        <f t="shared" si="3"/>
        <v>40267384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sheetProtection algorithmName="SHA-512" hashValue="568CIz0hhp/5yWFNJnlKM04kikHomIw2CuTV2f4mKXEVtiO97jOXCRpT7ht4eiCsN141UFlAlz3iWr1w39TAmQ==" saltValue="F7QtRXWbzioZrzjF1knB2Q==" spinCount="100000" sheet="1" objects="1" scenarios="1"/>
  <pageMargins left="0.7" right="0.7" top="0.75" bottom="0.75" header="0.3" footer="0.3"/>
  <pageSetup scale="5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R30"/>
  <sheetViews>
    <sheetView zoomScaleNormal="100" workbookViewId="0">
      <pane xSplit="1" ySplit="7" topLeftCell="D8" activePane="bottomRight" state="frozen"/>
      <selection sqref="A1:XFD1048576"/>
      <selection pane="topRight" sqref="A1:XFD1048576"/>
      <selection pane="bottomLeft" sqref="A1:XFD1048576"/>
      <selection pane="bottomRight" activeCell="G19" sqref="G19"/>
    </sheetView>
  </sheetViews>
  <sheetFormatPr defaultColWidth="9.109375" defaultRowHeight="14.4" x14ac:dyDescent="0.3"/>
  <cols>
    <col min="1" max="1" width="23.33203125" customWidth="1"/>
    <col min="2" max="4" width="13.44140625" customWidth="1"/>
    <col min="5" max="5" width="13.44140625" style="64" customWidth="1"/>
    <col min="6" max="8" width="13.44140625" customWidth="1"/>
    <col min="9" max="9" width="5.88671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+[72]RegCust!G3</f>
        <v>For the Twelve Months ended December 31, 2019 and 2018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+VLOOKUP([72]INPUT_Date.Etc!$B$4,[72]INPUT_Date.Etc!$A$14:$P$25,[72]INPUT_Date.Etc!$M$12)</f>
        <v>Volume for the Month of December 2019</v>
      </c>
      <c r="E6" s="16"/>
      <c r="F6" s="17"/>
      <c r="G6" s="17"/>
      <c r="H6" s="17"/>
      <c r="I6" s="13"/>
      <c r="J6" s="69"/>
      <c r="K6" s="15"/>
      <c r="L6" s="15"/>
      <c r="M6" s="15" t="str">
        <f>+VLOOKUP([72]INPUT_Date.Etc!$B$4,[72]INPUT_Date.Etc!$A$14:$P$25,[72]INPUT_Date.Etc!$N$12)</f>
        <v>Volume for the Month of December 2018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+HLOOKUP([72]INPUT_Date.Etc!$B$4,[72]Delaware!$A$4:$P$57,9, FALSE)</f>
        <v>432203</v>
      </c>
      <c r="C8" s="22">
        <f>+HLOOKUP([72]INPUT_Date.Etc!$B$4,[72]Maryland!$A$4:$P$57,9, FALSE)</f>
        <v>73777</v>
      </c>
      <c r="D8" s="22">
        <f>+HLOOKUP([72]INPUT_Date.Etc!$B$4,[72]Sandpiper!$A$4:$P$57,9, FALSE)</f>
        <v>34516</v>
      </c>
      <c r="E8" s="22">
        <f>+HLOOKUP([72]INPUT_Date.Etc!$B$4,[72]CFG!$A$4:$P$57,9, FALSE)</f>
        <v>42335.91781088728</v>
      </c>
      <c r="F8" s="22">
        <f>+HLOOKUP([72]INPUT_Date.Etc!$B$4,[72]FPUNG!$A$4:$P$116,9, FALSE)</f>
        <v>164650.24832019059</v>
      </c>
      <c r="G8" s="22">
        <f>+HLOOKUP([72]INPUT_Date.Etc!$B$4,[72]Electric!$E$4:$P$59,9, FALSE)</f>
        <v>21819</v>
      </c>
      <c r="H8" s="22">
        <f>+HLOOKUP([72]INPUT_Date.Etc!$B$4,[72]ESNG!$E$11:$P$15,2, FALSE)</f>
        <v>0</v>
      </c>
      <c r="I8" s="23"/>
      <c r="J8" s="22">
        <f>+HLOOKUP([72]INPUT_Date.Etc!$B$4,[72]Delaware!$T$4:$AI$52,9, FALSE)</f>
        <v>465511</v>
      </c>
      <c r="K8" s="22">
        <f>+HLOOKUP([72]INPUT_Date.Etc!$B$4,[72]Maryland!$T$4:$AI$52,9, FALSE)</f>
        <v>75439</v>
      </c>
      <c r="L8" s="22">
        <f>+HLOOKUP([72]INPUT_Date.Etc!$B$4,[72]Sandpiper!$T$4:$AI$52,9, FALSE)</f>
        <v>36894</v>
      </c>
      <c r="M8" s="22">
        <f>+HLOOKUP([72]INPUT_Date.Etc!$B$4,[72]CFG!$T$4:$AI$52,9, FALSE)</f>
        <v>41469.860745934362</v>
      </c>
      <c r="N8" s="22">
        <f>+HLOOKUP([72]INPUT_Date.Etc!$B$4,[72]FPUNG!$T$4:$AI$116,9, FALSE)</f>
        <v>152653.61378907392</v>
      </c>
      <c r="O8" s="22">
        <f>+HLOOKUP([72]INPUT_Date.Etc!$B$4,[72]Electric!$T$4:$AI$45,9, FALSE)</f>
        <v>36558</v>
      </c>
      <c r="P8" s="22">
        <v>0</v>
      </c>
    </row>
    <row r="9" spans="1:18" x14ac:dyDescent="0.3">
      <c r="A9" s="12" t="s">
        <v>18</v>
      </c>
      <c r="B9" s="22">
        <f>+HLOOKUP([72]INPUT_Date.Etc!$B$4,[72]Delaware!$A$4:$P$57,10, FALSE)</f>
        <v>315008</v>
      </c>
      <c r="C9" s="22">
        <f>+HLOOKUP([72]INPUT_Date.Etc!$B$4,[72]Maryland!$A$4:$P$57,10, FALSE)</f>
        <v>127461</v>
      </c>
      <c r="D9" s="22">
        <f>+HLOOKUP([72]INPUT_Date.Etc!$B$4,[72]Sandpiper!$A$4:$P$57,10, FALSE)</f>
        <v>21865</v>
      </c>
      <c r="E9" s="22">
        <f>+HLOOKUP([72]INPUT_Date.Etc!$B$4,[72]CFG!$A$4:$P$57,10, FALSE)</f>
        <v>388086.16905248811</v>
      </c>
      <c r="F9" s="22">
        <f>+HLOOKUP([72]INPUT_Date.Etc!$B$4,[72]FPUNG!$A$4:$P$116,10, FALSE)</f>
        <v>167860.36615055028</v>
      </c>
      <c r="G9" s="22">
        <f>+HLOOKUP([72]INPUT_Date.Etc!$B$4,[72]Electric!$E$4:$P$59,10, FALSE)</f>
        <v>22398</v>
      </c>
      <c r="H9" s="22">
        <f>+HLOOKUP([72]INPUT_Date.Etc!$B$4,[72]ESNG!$E$11:$P$15,3, FALSE)</f>
        <v>0</v>
      </c>
      <c r="I9" s="23"/>
      <c r="J9" s="22">
        <f>+HLOOKUP([72]INPUT_Date.Etc!$B$4,[72]Delaware!$T$4:$AI$52,10, FALSE)</f>
        <v>308106</v>
      </c>
      <c r="K9" s="22">
        <f>+HLOOKUP([72]INPUT_Date.Etc!$B$4,[72]Maryland!$T$4:$AI$52,10, FALSE)</f>
        <v>108229</v>
      </c>
      <c r="L9" s="22">
        <f>+HLOOKUP([72]INPUT_Date.Etc!$B$4,[72]Sandpiper!$T$4:$AI$52,10, FALSE)</f>
        <v>23773</v>
      </c>
      <c r="M9" s="22">
        <f>+HLOOKUP([72]INPUT_Date.Etc!$B$4,[72]CFG!$T$4:$AI$52,10, FALSE)</f>
        <v>390370.24052974972</v>
      </c>
      <c r="N9" s="22">
        <f>+HLOOKUP([72]INPUT_Date.Etc!$B$4,[72]FPUNG!$T$4:$AI$116,10, FALSE)</f>
        <v>165399.69724413284</v>
      </c>
      <c r="O9" s="22">
        <f>+HLOOKUP([72]INPUT_Date.Etc!$B$4,[72]Electric!$T$4:$AI$45,10, FALSE)</f>
        <v>43789</v>
      </c>
      <c r="P9" s="22">
        <v>0</v>
      </c>
    </row>
    <row r="10" spans="1:18" x14ac:dyDescent="0.3">
      <c r="A10" s="12" t="s">
        <v>19</v>
      </c>
      <c r="B10" s="22">
        <f>+HLOOKUP([72]INPUT_Date.Etc!$B$4,[72]Delaware!$A$4:$P$57,11, FALSE)</f>
        <v>268687</v>
      </c>
      <c r="C10" s="22">
        <f>+HLOOKUP([72]INPUT_Date.Etc!$B$4,[72]Maryland!$A$4:$P$57,11, FALSE)</f>
        <v>165579</v>
      </c>
      <c r="D10" s="22">
        <f>+HLOOKUP([72]INPUT_Date.Etc!$B$4,[72]Sandpiper!$A$4:$P$57,11, FALSE)</f>
        <v>34127</v>
      </c>
      <c r="E10" s="22">
        <f>+HLOOKUP([72]INPUT_Date.Etc!$B$4,[72]CFG!$A$4:$P$57,11, FALSE)</f>
        <v>2552742.9847112675</v>
      </c>
      <c r="F10" s="22">
        <f>+HLOOKUP([72]INPUT_Date.Etc!$B$4,[72]FPUNG!$A$4:$P$116,11, FALSE)</f>
        <v>450238.81877495337</v>
      </c>
      <c r="G10" s="22">
        <f>+HLOOKUP([72]INPUT_Date.Etc!$B$4,[72]Electric!$E$4:$P$59,11, FALSE)</f>
        <v>669</v>
      </c>
      <c r="H10" s="22">
        <v>0</v>
      </c>
      <c r="I10" s="23"/>
      <c r="J10" s="22">
        <f>+HLOOKUP([72]INPUT_Date.Etc!$B$4,[72]Delaware!$T$4:$AI$52,11, FALSE)</f>
        <v>300687</v>
      </c>
      <c r="K10" s="22">
        <f>+HLOOKUP([72]INPUT_Date.Etc!$B$4,[72]Maryland!$T$4:$AI$52,11, FALSE)</f>
        <v>176546</v>
      </c>
      <c r="L10" s="22">
        <f>+HLOOKUP([72]INPUT_Date.Etc!$B$4,[72]Sandpiper!$T$4:$AI$52,11, FALSE)</f>
        <v>21287</v>
      </c>
      <c r="M10" s="22">
        <f>+HLOOKUP([72]INPUT_Date.Etc!$B$4,[72]CFG!$T$4:$AI$52,11, FALSE)</f>
        <v>2345838.7379491674</v>
      </c>
      <c r="N10" s="22">
        <f>+HLOOKUP([72]INPUT_Date.Etc!$B$4,[72]FPUNG!$T$4:$AI$116,11, FALSE)</f>
        <v>423890</v>
      </c>
      <c r="O10" s="22">
        <f>+HLOOKUP([72]INPUT_Date.Etc!$B$4,[72]Electric!$T$4:$AI$45,11, FALSE)</f>
        <v>1190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+HLOOKUP([72]INPUT_Date.Etc!$B$4,[72]ESNG!$A$4:$P$71,11,FALSE)</f>
        <v>5405074.7292785114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+HLOOKUP([72]INPUT_Date.Etc!$B$4,[72]ESNG!$T$4:$AI$58,11, FALSE)</f>
        <v>5293304</v>
      </c>
    </row>
    <row r="12" spans="1:18" x14ac:dyDescent="0.3">
      <c r="A12" s="12" t="s">
        <v>21</v>
      </c>
      <c r="B12" s="22">
        <f>+HLOOKUP([72]INPUT_Date.Etc!$B$4,[72]Delaware!$A$4:$P$57,12, FALSE)</f>
        <v>31676</v>
      </c>
      <c r="C12" s="22">
        <f>+HLOOKUP([72]INPUT_Date.Etc!$B$4,[72]Maryland!$A$4:$P$57,12, FALSE)</f>
        <v>0</v>
      </c>
      <c r="D12" s="22">
        <f>+HLOOKUP([72]INPUT_Date.Etc!$B$4,[72]Sandpiper!$A$4:$P$57,12, FALSE)</f>
        <v>0</v>
      </c>
      <c r="E12" s="22">
        <f>+HLOOKUP([72]INPUT_Date.Etc!$B$4,[72]CFG!$A$4:$P$57,12, FALSE)</f>
        <v>0</v>
      </c>
      <c r="F12" s="22">
        <f>+HLOOKUP([72]INPUT_Date.Etc!$B$4,[72]FPUNG!$A$4:$P$116,12, FALSE)</f>
        <v>283627.13643003214</v>
      </c>
      <c r="G12" s="22">
        <f>+HLOOKUP([72]INPUT_Date.Etc!$B$4,[72]Electric!$E$4:$P$59,12, FALSE)</f>
        <v>0</v>
      </c>
      <c r="H12" s="22">
        <f>+HLOOKUP([72]INPUT_Date.Etc!$B$4,[72]ESNG!$A$4:$P$71,12,FALSE)</f>
        <v>27894.098488985102</v>
      </c>
      <c r="I12" s="23"/>
      <c r="J12" s="22">
        <f>+HLOOKUP([72]INPUT_Date.Etc!$B$4,[72]Delaware!$T$4:$AI$52,12, FALSE)</f>
        <v>7107</v>
      </c>
      <c r="K12" s="22">
        <f>+HLOOKUP([72]INPUT_Date.Etc!$B$4,[72]Maryland!$T$4:$AI$52,12, FALSE)</f>
        <v>0</v>
      </c>
      <c r="L12" s="22">
        <f>+HLOOKUP([72]INPUT_Date.Etc!$B$4,[72]Sandpiper!$A$4:$P$57,12, FALSE)</f>
        <v>0</v>
      </c>
      <c r="M12" s="22">
        <f>+HLOOKUP([72]INPUT_Date.Etc!$B$4,[72]CFG!$T$4:$AI$52,12, FALSE)</f>
        <v>0</v>
      </c>
      <c r="N12" s="22">
        <f>+HLOOKUP([72]INPUT_Date.Etc!$B$4,[72]FPUNG!$T$4:$AI$116,12, FALSE)</f>
        <v>478462.78030966991</v>
      </c>
      <c r="O12" s="22">
        <f>+HLOOKUP([72]INPUT_Date.Etc!$B$4,[72]Electric!$T$4:$AI$45,12, FALSE)</f>
        <v>1310</v>
      </c>
      <c r="P12" s="22">
        <f>+HLOOKUP([72]INPUT_Date.Etc!$B$4,[72]ESNG!$T$4:$AI$58,12, FALSE)</f>
        <v>91903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+HLOOKUP([72]INPUT_Date.Etc!$B$4,[72]ESNG!$A$4:$P$71,13,FALSE)</f>
        <v>-1681191.8027321005</v>
      </c>
      <c r="I13" s="23"/>
      <c r="J13" s="22">
        <f>+[72]Delaware!V10</f>
        <v>0</v>
      </c>
      <c r="K13" s="22">
        <f>+[72]Maryland!W10</f>
        <v>0</v>
      </c>
      <c r="L13" s="22">
        <v>0</v>
      </c>
      <c r="M13" s="22">
        <f>+[72]CFG!X10</f>
        <v>0</v>
      </c>
      <c r="N13" s="24">
        <v>0</v>
      </c>
      <c r="O13" s="22">
        <v>0</v>
      </c>
      <c r="P13" s="22">
        <f>+HLOOKUP([72]INPUT_Date.Etc!$B$4,[72]ESNG!$T$4:$AI$58,13, FALSE)</f>
        <v>-1709322</v>
      </c>
    </row>
    <row r="14" spans="1:18" ht="15" thickBot="1" x14ac:dyDescent="0.35">
      <c r="A14" s="72" t="s">
        <v>180</v>
      </c>
      <c r="B14" s="27">
        <f t="shared" ref="B14:H14" si="0">SUM(B8:B13)</f>
        <v>1047574</v>
      </c>
      <c r="C14" s="27">
        <f t="shared" si="0"/>
        <v>366817</v>
      </c>
      <c r="D14" s="27">
        <f t="shared" si="0"/>
        <v>90508</v>
      </c>
      <c r="E14" s="27">
        <f t="shared" si="0"/>
        <v>2983165.0715746428</v>
      </c>
      <c r="F14" s="27">
        <f t="shared" si="0"/>
        <v>1066376.5696757264</v>
      </c>
      <c r="G14" s="27">
        <f t="shared" si="0"/>
        <v>44886</v>
      </c>
      <c r="H14" s="27">
        <f t="shared" si="0"/>
        <v>3751777.0250353962</v>
      </c>
      <c r="I14" s="23"/>
      <c r="J14" s="27">
        <f t="shared" ref="J14:P14" si="1">SUM(J8:J13)</f>
        <v>1081411</v>
      </c>
      <c r="K14" s="27">
        <f t="shared" si="1"/>
        <v>360214</v>
      </c>
      <c r="L14" s="27">
        <f>SUM(L8:L13)</f>
        <v>81954</v>
      </c>
      <c r="M14" s="27">
        <f t="shared" si="1"/>
        <v>2777678.8392248517</v>
      </c>
      <c r="N14" s="27">
        <f t="shared" si="1"/>
        <v>1220406.0913428767</v>
      </c>
      <c r="O14" s="27">
        <f t="shared" si="1"/>
        <v>82847</v>
      </c>
      <c r="P14" s="27">
        <f t="shared" si="1"/>
        <v>3675885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+VLOOKUP([72]INPUT_Date.Etc!$B$4,[72]INPUT_Date.Etc!$A$14:$P$25,[72]INPUT_Date.Etc!$O$12)</f>
        <v>Volume for the Twelve Months ended December 31, 2019</v>
      </c>
      <c r="E17" s="74"/>
      <c r="F17" s="19"/>
      <c r="G17" s="19"/>
      <c r="H17" s="19"/>
      <c r="I17" s="75"/>
      <c r="J17" s="23"/>
      <c r="K17" s="15" t="str">
        <f>+VLOOKUP([72]INPUT_Date.Etc!$B$4,[72]INPUT_Date.Etc!$A$14:$P$25,[72]INPUT_Date.Etc!$P$12)</f>
        <v>Volume for the Twelve Months ended December 31, 2018</v>
      </c>
      <c r="L17" s="15" t="str">
        <f>+VLOOKUP([72]INPUT_Date.Etc!$B$4,[72]INPUT_Date.Etc!$A$14:$P$25,[72]INPUT_Date.Etc!$O$12)</f>
        <v>Volume for the Twelve Months ended December 31, 2019</v>
      </c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+HLOOKUP([72]INPUT_Date.Etc!$B$4,[72]Delaware!$A$4:$P$57,38, FALSE)</f>
        <v>2958061</v>
      </c>
      <c r="C19" s="22">
        <f>+HLOOKUP([72]INPUT_Date.Etc!$B$4,[72]Maryland!$A$4:$P$57,38, FALSE)</f>
        <v>517026</v>
      </c>
      <c r="D19" s="22">
        <f>+HLOOKUP([72]INPUT_Date.Etc!$B$4,[72]Sandpiper!$A$4:$P$57,38, FALSE)</f>
        <v>253149</v>
      </c>
      <c r="E19" s="22">
        <f>+HLOOKUP([72]INPUT_Date.Etc!$B$4,[72]CFG!$A$4:$P$57,38, FALSE)</f>
        <v>352104.10653422866</v>
      </c>
      <c r="F19" s="22">
        <f>+HLOOKUP([72]INPUT_Date.Etc!$B$4,[72]FPUNG!$A$4:$P$116,96, FALSE)</f>
        <v>1355909.7022105688</v>
      </c>
      <c r="G19" s="22">
        <f>+HLOOKUP([72]INPUT_Date.Etc!$B$4,[72]Electric!$E$4:$P$59,32, FALSE)</f>
        <v>306445.42599999998</v>
      </c>
      <c r="H19" s="22">
        <f>+HLOOKUP([72]INPUT_Date.Etc!$B$4,[72]ESNG!$E$11:$P$15,2, FALSE)</f>
        <v>0</v>
      </c>
      <c r="I19" s="23"/>
      <c r="J19" s="22">
        <f>+HLOOKUP([72]INPUT_Date.Etc!$B$4,[72]Delaware!$T$4:$AI$52,38, FALSE)</f>
        <v>3123423</v>
      </c>
      <c r="K19" s="22">
        <f>+HLOOKUP([72]INPUT_Date.Etc!$B$4,[72]Maryland!$T$4:$AI$52,38, FALSE)</f>
        <v>562939</v>
      </c>
      <c r="L19" s="22">
        <f>+HLOOKUP([72]INPUT_Date.Etc!$B$4,[72]Sandpiper!$A$4:$P$57,38, FALSE)</f>
        <v>253149</v>
      </c>
      <c r="M19" s="22">
        <f>+HLOOKUP([72]INPUT_Date.Etc!$B$4,[72]CFG!$T$4:$AI$52,38, FALSE)</f>
        <v>359398.38348427304</v>
      </c>
      <c r="N19" s="22">
        <f>+HLOOKUP([72]INPUT_Date.Etc!$B$4,[72]FPUNG!$T$4:$AI$116,96, FALSE)</f>
        <v>1357274.1786804965</v>
      </c>
      <c r="O19" s="22">
        <f>+HLOOKUP([72]INPUT_Date.Etc!$B$4,[72]Electric!$T$4:$AI$45,32, FALSE)</f>
        <v>307269.28200000001</v>
      </c>
      <c r="P19" s="22">
        <v>0</v>
      </c>
    </row>
    <row r="20" spans="1:18" x14ac:dyDescent="0.3">
      <c r="A20" s="12" t="s">
        <v>18</v>
      </c>
      <c r="B20" s="22">
        <f>+HLOOKUP([72]INPUT_Date.Etc!$B$4,[72]Delaware!$A$4:$P$57,39, FALSE)</f>
        <v>2321424</v>
      </c>
      <c r="C20" s="22">
        <f>+HLOOKUP([72]INPUT_Date.Etc!$B$4,[72]Maryland!$A$4:$P$57,39, FALSE)</f>
        <v>1036585</v>
      </c>
      <c r="D20" s="22">
        <f>+HLOOKUP([72]INPUT_Date.Etc!$B$4,[72]Sandpiper!$A$4:$P$57,39, FALSE)</f>
        <v>281473</v>
      </c>
      <c r="E20" s="22">
        <f>+HLOOKUP([72]INPUT_Date.Etc!$B$4,[72]CFG!$A$4:$P$57,39, FALSE)</f>
        <v>4475776.0278508132</v>
      </c>
      <c r="F20" s="22">
        <f>+HLOOKUP([72]INPUT_Date.Etc!$B$4,[72]FPUNG!$A$4:$P$116,97, FALSE)</f>
        <v>1669661.2645905153</v>
      </c>
      <c r="G20" s="22">
        <f>+HLOOKUP([72]INPUT_Date.Etc!$B$4,[72]Electric!$E$4:$P$59,33, FALSE)</f>
        <v>310856.15399999998</v>
      </c>
      <c r="H20" s="22">
        <f>+HLOOKUP([72]INPUT_Date.Etc!$B$4,[72]ESNG!$E$11:$P$15,3, FALSE)</f>
        <v>0</v>
      </c>
      <c r="I20" s="23"/>
      <c r="J20" s="22">
        <f>+HLOOKUP([72]INPUT_Date.Etc!$B$4,[72]Delaware!$T$4:$AI$52,39, FALSE)</f>
        <v>2413774</v>
      </c>
      <c r="K20" s="22">
        <f>+HLOOKUP([72]INPUT_Date.Etc!$B$4,[72]Maryland!$T$4:$AI$52,39, FALSE)</f>
        <v>869437</v>
      </c>
      <c r="L20" s="22">
        <f>+HLOOKUP([72]INPUT_Date.Etc!$B$4,[72]Sandpiper!$A$4:$P$57,39, FALSE)</f>
        <v>281473</v>
      </c>
      <c r="M20" s="22">
        <f>+HLOOKUP([72]INPUT_Date.Etc!$B$4,[72]CFG!$T$4:$AI$52,39, FALSE)</f>
        <v>4596092.6088226698</v>
      </c>
      <c r="N20" s="22">
        <f>+HLOOKUP([72]INPUT_Date.Etc!$B$4,[72]FPUNG!$T$4:$AI$116,97, FALSE)</f>
        <v>1676967.2903437531</v>
      </c>
      <c r="O20" s="22">
        <f>+HLOOKUP([72]INPUT_Date.Etc!$B$4,[72]Electric!$T$4:$AI$45,33, FALSE)</f>
        <v>302686.51299999998</v>
      </c>
      <c r="P20" s="22">
        <v>0</v>
      </c>
    </row>
    <row r="21" spans="1:18" x14ac:dyDescent="0.3">
      <c r="A21" s="12" t="s">
        <v>19</v>
      </c>
      <c r="B21" s="22">
        <f>+HLOOKUP([72]INPUT_Date.Etc!$B$4,[72]Delaware!$A$4:$P$57,40, FALSE)</f>
        <v>3067958</v>
      </c>
      <c r="C21" s="22">
        <f>+HLOOKUP([72]INPUT_Date.Etc!$B$4,[72]Maryland!$A$4:$P$57,40, FALSE)</f>
        <v>1772583</v>
      </c>
      <c r="D21" s="22">
        <f>+HLOOKUP([72]INPUT_Date.Etc!$B$4,[72]Sandpiper!$A$4:$P$57,40, FALSE)</f>
        <v>321826</v>
      </c>
      <c r="E21" s="22">
        <f>+HLOOKUP([72]INPUT_Date.Etc!$B$4,[72]CFG!$A$4:$P$57,40, FALSE)</f>
        <v>27768125.251728505</v>
      </c>
      <c r="F21" s="22">
        <f>+HLOOKUP([72]INPUT_Date.Etc!$B$4,[72]FPUNG!$A$4:$P$116,98, FALSE)</f>
        <v>4838587.8264680095</v>
      </c>
      <c r="G21" s="22">
        <f>+HLOOKUP([72]INPUT_Date.Etc!$B$4,[72]Electric!$E$4:$P$59,34, FALSE)</f>
        <v>27928.576000000001</v>
      </c>
      <c r="H21" s="22">
        <v>0</v>
      </c>
      <c r="I21" s="23"/>
      <c r="J21" s="22">
        <f>+HLOOKUP([72]INPUT_Date.Etc!$B$4,[72]Delaware!$T$4:$AI$52,40, FALSE)</f>
        <v>3195092</v>
      </c>
      <c r="K21" s="22">
        <f>+HLOOKUP([72]INPUT_Date.Etc!$B$4,[72]Maryland!$T$4:$AI$52,40, FALSE)</f>
        <v>1893278</v>
      </c>
      <c r="L21" s="22">
        <f>+HLOOKUP([72]INPUT_Date.Etc!$B$4,[72]Sandpiper!$A$4:$P$57,40, FALSE)</f>
        <v>321826</v>
      </c>
      <c r="M21" s="22">
        <f>+HLOOKUP([72]INPUT_Date.Etc!$B$4,[72]CFG!$T$4:$AI$52,40, FALSE)</f>
        <v>19338137.59859772</v>
      </c>
      <c r="N21" s="22">
        <f>+HLOOKUP([72]INPUT_Date.Etc!$B$4,[72]FPUNG!$T$4:$AI$116,98, FALSE)</f>
        <v>4772613.4965040414</v>
      </c>
      <c r="O21" s="22">
        <f>+HLOOKUP([72]INPUT_Date.Etc!$B$4,[72]Electric!$T$4:$AI$45,34, FALSE)</f>
        <v>15160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+HLOOKUP([72]INPUT_Date.Etc!$B$4,[72]ESNG!$A$4:$P$71,48,FALSE)</f>
        <v>56925329.472958371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+HLOOKUP([72]INPUT_Date.Etc!$B$4,[72]ESNG!$T$4:$AI$58,48, FALSE)</f>
        <v>50296416</v>
      </c>
    </row>
    <row r="23" spans="1:18" x14ac:dyDescent="0.3">
      <c r="A23" s="12" t="s">
        <v>21</v>
      </c>
      <c r="B23" s="22">
        <f>+HLOOKUP([72]INPUT_Date.Etc!$B$4,[72]Delaware!$A$4:$P$57,41, FALSE)</f>
        <v>212140</v>
      </c>
      <c r="C23" s="22">
        <f>+HLOOKUP([72]INPUT_Date.Etc!$B$4,[72]Maryland!$A$4:$P$57,41, FALSE)</f>
        <v>0</v>
      </c>
      <c r="D23" s="22">
        <f>+HLOOKUP([72]INPUT_Date.Etc!$B$4,[72]Sandpiper!$A$4:$P$57,41, FALSE)</f>
        <v>0</v>
      </c>
      <c r="E23" s="22">
        <f>+HLOOKUP([72]INPUT_Date.Etc!$B$4,[72]CFG!$A$4:$P$57,41, FALSE)</f>
        <v>0</v>
      </c>
      <c r="F23" s="22">
        <f>+HLOOKUP([72]INPUT_Date.Etc!$B$4,[72]FPUNG!$A$4:$P$116,99, FALSE)</f>
        <v>2507473.7423312883</v>
      </c>
      <c r="G23" s="22">
        <f>+HLOOKUP([72]INPUT_Date.Etc!$B$4,[72]Electric!$E$4:$P$59,35, FALSE)</f>
        <v>0</v>
      </c>
      <c r="H23" s="22">
        <f>+HLOOKUP([72]INPUT_Date.Etc!$B$4,[72]ESNG!$A$4:$P$71,49,FALSE)</f>
        <v>597710.22637323232</v>
      </c>
      <c r="I23" s="23"/>
      <c r="J23" s="22">
        <f>+HLOOKUP([72]INPUT_Date.Etc!$B$4,[72]Delaware!$T$4:$AI$52,41, FALSE)</f>
        <v>76915</v>
      </c>
      <c r="K23" s="22">
        <f>+HLOOKUP([72]INPUT_Date.Etc!$B$4,[72]Maryland!$T$4:$AI$52,41, FALSE)</f>
        <v>0</v>
      </c>
      <c r="L23" s="22">
        <f>+HLOOKUP([72]INPUT_Date.Etc!$B$4,[72]Sandpiper!$A$4:$P$57,41, FALSE)</f>
        <v>0</v>
      </c>
      <c r="M23" s="22">
        <f>+HLOOKUP([72]INPUT_Date.Etc!$B$4,[72]CFG!$T$4:$AI$52,41, FALSE)</f>
        <v>0</v>
      </c>
      <c r="N23" s="22">
        <f>+HLOOKUP([72]INPUT_Date.Etc!$B$4,[72]FPUNG!$T$4:$AI$116,99, FALSE)</f>
        <v>2277547.9507108778</v>
      </c>
      <c r="O23" s="22">
        <f>+HLOOKUP([72]INPUT_Date.Etc!$B$4,[72]Electric!$T$4:$AI$45,35, FALSE)</f>
        <v>7402.0550000000003</v>
      </c>
      <c r="P23" s="22">
        <f>+HLOOKUP([72]INPUT_Date.Etc!$B$4,[72]ESNG!$T$4:$AI$58,49, FALSE)</f>
        <v>1344320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+HLOOKUP([72]INPUT_Date.Etc!$B$4,[72]ESNG!$A$4:$P$71,50,FALSE)</f>
        <v>-12980530.216464523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+HLOOKUP([72]INPUT_Date.Etc!$B$4,[72]ESNG!$T$4:$AI$58,50, FALSE)</f>
        <v>-11373352</v>
      </c>
    </row>
    <row r="25" spans="1:18" ht="15" thickBot="1" x14ac:dyDescent="0.35">
      <c r="A25" s="72" t="s">
        <v>180</v>
      </c>
      <c r="B25" s="27">
        <f t="shared" ref="B25:H25" si="2">SUM(B19:B24)</f>
        <v>8559583</v>
      </c>
      <c r="C25" s="27">
        <f t="shared" si="2"/>
        <v>3326194</v>
      </c>
      <c r="D25" s="27">
        <f t="shared" si="2"/>
        <v>856448</v>
      </c>
      <c r="E25" s="76">
        <f t="shared" si="2"/>
        <v>32596005.386113547</v>
      </c>
      <c r="F25" s="76">
        <f t="shared" si="2"/>
        <v>10371632.535600383</v>
      </c>
      <c r="G25" s="27">
        <f t="shared" si="2"/>
        <v>645230.15599999996</v>
      </c>
      <c r="H25" s="27">
        <f t="shared" si="2"/>
        <v>44542509.482867077</v>
      </c>
      <c r="I25" s="23"/>
      <c r="J25" s="27">
        <f t="shared" ref="J25:P25" si="3">SUM(J19:J24)</f>
        <v>8809204</v>
      </c>
      <c r="K25" s="27">
        <f t="shared" si="3"/>
        <v>3325654</v>
      </c>
      <c r="L25" s="27">
        <f>SUM(L19:L24)</f>
        <v>856448</v>
      </c>
      <c r="M25" s="27">
        <f t="shared" si="3"/>
        <v>24293628.590904664</v>
      </c>
      <c r="N25" s="27">
        <f t="shared" si="3"/>
        <v>10084402.916239168</v>
      </c>
      <c r="O25" s="27">
        <f t="shared" si="3"/>
        <v>632517.85</v>
      </c>
      <c r="P25" s="27">
        <f t="shared" si="3"/>
        <v>40267384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sheetProtection password="EF28" sheet="1" objects="1" scenarios="1"/>
  <pageMargins left="0.7" right="0.7" top="0.75" bottom="0.75" header="0.3" footer="0.3"/>
  <pageSetup scale="5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L3" sqref="L3"/>
    </sheetView>
  </sheetViews>
  <sheetFormatPr defaultColWidth="9.44140625" defaultRowHeight="14.4" x14ac:dyDescent="0.3"/>
  <cols>
    <col min="1" max="1" width="23.44140625" customWidth="1"/>
    <col min="2" max="4" width="13.44140625" customWidth="1"/>
    <col min="5" max="5" width="13.44140625" style="64" customWidth="1"/>
    <col min="6" max="8" width="13.44140625" customWidth="1"/>
    <col min="9" max="9" width="5.5546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+[62]RegCust!G3</f>
        <v>For the Twelve Months ended December 31, 2020 and 2019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+VLOOKUP([62]INPUT_Date.Etc!$B$4,[62]INPUT_Date.Etc!$A$14:$P$25,[62]INPUT_Date.Etc!$M$12)</f>
        <v>Volume for the Month of December 2020</v>
      </c>
      <c r="E6" s="16"/>
      <c r="F6" s="17"/>
      <c r="G6" s="17"/>
      <c r="H6" s="17"/>
      <c r="I6" s="13"/>
      <c r="J6" s="69"/>
      <c r="K6" s="15"/>
      <c r="L6" s="15"/>
      <c r="M6" s="15" t="str">
        <f>+VLOOKUP([62]INPUT_Date.Etc!$B$4,[62]INPUT_Date.Etc!$A$14:$P$25,[62]INPUT_Date.Etc!$N$12)</f>
        <v>Volume for the Month of December 2019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+HLOOKUP([62]INPUT_Date.Etc!$B$4,[62]Delaware!$A$4:$P$57,9, FALSE)</f>
        <v>358054</v>
      </c>
      <c r="C8" s="22">
        <f>+HLOOKUP([62]INPUT_Date.Etc!$B$4,[62]Maryland!$A$4:$P$57,9, FALSE)</f>
        <v>59220</v>
      </c>
      <c r="D8" s="22">
        <f>+HLOOKUP([62]INPUT_Date.Etc!$B$4,[62]Sandpiper!$A$4:$P$57,9, FALSE)</f>
        <v>29444</v>
      </c>
      <c r="E8" s="22">
        <f>+HLOOKUP([62]INPUT_Date.Etc!$B$4,[62]CFG!$A$4:$P$57,9, FALSE)</f>
        <v>47237.873210635102</v>
      </c>
      <c r="F8" s="22">
        <f>+HLOOKUP([62]INPUT_Date.Etc!$B$4,[62]FPUNG!$A$4:$P$116,9, FALSE)</f>
        <v>187027.60930957308</v>
      </c>
      <c r="G8" s="22">
        <f>+HLOOKUP([62]INPUT_Date.Etc!$B$4,[62]Electric!$E$4:$P$59,9, FALSE)</f>
        <v>23400</v>
      </c>
      <c r="H8" s="22">
        <f>+HLOOKUP([62]INPUT_Date.Etc!$B$4,[62]ESNG!$E$11:$P$15,2, FALSE)</f>
        <v>0</v>
      </c>
      <c r="I8" s="23"/>
      <c r="J8" s="22">
        <f>+HLOOKUP([62]INPUT_Date.Etc!$B$4,[62]Delaware!$T$4:$AI$52,9, FALSE)</f>
        <v>432203</v>
      </c>
      <c r="K8" s="22">
        <f>+HLOOKUP([62]INPUT_Date.Etc!$B$4,[62]Maryland!$T$4:$AI$52,9, FALSE)</f>
        <v>73777</v>
      </c>
      <c r="L8" s="22">
        <f>+HLOOKUP([62]INPUT_Date.Etc!$B$4,[62]Sandpiper!$T$4:$AI$52,9, FALSE)</f>
        <v>34516</v>
      </c>
      <c r="M8" s="22">
        <f>+HLOOKUP([62]INPUT_Date.Etc!$B$4,[62]CFG!$T$4:$AI$52,9, FALSE)</f>
        <v>42335.91781088728</v>
      </c>
      <c r="N8" s="22">
        <f>+HLOOKUP([62]INPUT_Date.Etc!$B$4,[62]FPUNG!$T$4:$AI$116,9, FALSE)</f>
        <v>164650.24832019059</v>
      </c>
      <c r="O8" s="22">
        <f>+HLOOKUP([62]INPUT_Date.Etc!$B$4,[62]Electric!$T$4:$AI$45,9, FALSE)</f>
        <v>21819</v>
      </c>
      <c r="P8" s="22">
        <v>0</v>
      </c>
    </row>
    <row r="9" spans="1:18" x14ac:dyDescent="0.3">
      <c r="A9" s="12" t="s">
        <v>18</v>
      </c>
      <c r="B9" s="22">
        <f>+HLOOKUP([62]INPUT_Date.Etc!$B$4,[62]Delaware!$A$4:$P$57,10, FALSE)</f>
        <v>269062</v>
      </c>
      <c r="C9" s="22">
        <f>+HLOOKUP([62]INPUT_Date.Etc!$B$4,[62]Maryland!$A$4:$P$57,10, FALSE)</f>
        <v>125147</v>
      </c>
      <c r="D9" s="22">
        <f>+HLOOKUP([62]INPUT_Date.Etc!$B$4,[62]Sandpiper!$A$4:$P$57,10, FALSE)</f>
        <v>23093</v>
      </c>
      <c r="E9" s="22">
        <f>+HLOOKUP([62]INPUT_Date.Etc!$B$4,[62]CFG!$A$4:$P$57,10, FALSE)</f>
        <v>406941.80153861135</v>
      </c>
      <c r="F9" s="22">
        <f>+HLOOKUP([62]INPUT_Date.Etc!$B$4,[62]FPUNG!$A$4:$P$116,10, FALSE)</f>
        <v>145736.84389911377</v>
      </c>
      <c r="G9" s="22">
        <f>+HLOOKUP([62]INPUT_Date.Etc!$B$4,[62]Electric!$E$4:$P$59,10, FALSE)</f>
        <v>22653</v>
      </c>
      <c r="H9" s="22">
        <f>+HLOOKUP([62]INPUT_Date.Etc!$B$4,[62]ESNG!$E$11:$P$15,3, FALSE)</f>
        <v>0</v>
      </c>
      <c r="I9" s="23"/>
      <c r="J9" s="22">
        <f>+HLOOKUP([62]INPUT_Date.Etc!$B$4,[62]Delaware!$T$4:$AI$52,10, FALSE)</f>
        <v>315008</v>
      </c>
      <c r="K9" s="22">
        <f>+HLOOKUP([62]INPUT_Date.Etc!$B$4,[62]Maryland!$T$4:$AI$52,10, FALSE)</f>
        <v>127461</v>
      </c>
      <c r="L9" s="22">
        <f>+HLOOKUP([62]INPUT_Date.Etc!$B$4,[62]Sandpiper!$T$4:$AI$52,10, FALSE)</f>
        <v>21865</v>
      </c>
      <c r="M9" s="22">
        <f>+HLOOKUP([62]INPUT_Date.Etc!$B$4,[62]CFG!$T$4:$AI$52,10, FALSE)</f>
        <v>388086.16905248811</v>
      </c>
      <c r="N9" s="22">
        <f>+HLOOKUP([62]INPUT_Date.Etc!$B$4,[62]FPUNG!$T$4:$AI$116,10, FALSE)</f>
        <v>167860.36615055028</v>
      </c>
      <c r="O9" s="22">
        <f>+HLOOKUP([62]INPUT_Date.Etc!$B$4,[62]Electric!$T$4:$AI$45,10, FALSE)</f>
        <v>22398</v>
      </c>
      <c r="P9" s="22">
        <v>0</v>
      </c>
    </row>
    <row r="10" spans="1:18" x14ac:dyDescent="0.3">
      <c r="A10" s="12" t="s">
        <v>19</v>
      </c>
      <c r="B10" s="22">
        <f>+HLOOKUP([62]INPUT_Date.Etc!$B$4,[62]Delaware!$A$4:$P$57,11, FALSE)</f>
        <v>264721</v>
      </c>
      <c r="C10" s="22">
        <f>+HLOOKUP([62]INPUT_Date.Etc!$B$4,[62]Maryland!$A$4:$P$57,11, FALSE)</f>
        <v>186203</v>
      </c>
      <c r="D10" s="22">
        <f>+HLOOKUP([62]INPUT_Date.Etc!$B$4,[62]Sandpiper!$A$4:$P$57,11, FALSE)</f>
        <v>22717</v>
      </c>
      <c r="E10" s="22">
        <f>+HLOOKUP([62]INPUT_Date.Etc!$B$4,[62]CFG!$A$4:$P$57,11, FALSE)</f>
        <v>2154549.4429837377</v>
      </c>
      <c r="F10" s="22">
        <f>+HLOOKUP([62]INPUT_Date.Etc!$B$4,[62]FPUNG!$A$4:$P$116,11, FALSE)</f>
        <v>418374.64017918002</v>
      </c>
      <c r="G10" s="22">
        <f>+HLOOKUP([62]INPUT_Date.Etc!$B$4,[62]Electric!$E$4:$P$59,11, FALSE)</f>
        <v>560</v>
      </c>
      <c r="H10" s="22">
        <v>0</v>
      </c>
      <c r="I10" s="23"/>
      <c r="J10" s="22">
        <f>+HLOOKUP([62]INPUT_Date.Etc!$B$4,[62]Delaware!$T$4:$AI$52,11, FALSE)</f>
        <v>268687</v>
      </c>
      <c r="K10" s="22">
        <f>+HLOOKUP([62]INPUT_Date.Etc!$B$4,[62]Maryland!$T$4:$AI$52,11, FALSE)</f>
        <v>165579</v>
      </c>
      <c r="L10" s="22">
        <f>+HLOOKUP([62]INPUT_Date.Etc!$B$4,[62]Sandpiper!$T$4:$AI$52,11, FALSE)</f>
        <v>34127</v>
      </c>
      <c r="M10" s="22">
        <f>+HLOOKUP([62]INPUT_Date.Etc!$B$4,[62]CFG!$T$4:$AI$52,11, FALSE)</f>
        <v>2552742.9847112675</v>
      </c>
      <c r="N10" s="22">
        <f>+HLOOKUP([62]INPUT_Date.Etc!$B$4,[62]FPUNG!$T$4:$AI$116,11, FALSE)</f>
        <v>450238.81877495337</v>
      </c>
      <c r="O10" s="22">
        <f>+HLOOKUP([62]INPUT_Date.Etc!$B$4,[62]Electric!$T$4:$AI$45,11, FALSE)</f>
        <v>669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+HLOOKUP([62]INPUT_Date.Etc!$B$4,[62]ESNG!$A$4:$P$71,11,FALSE)</f>
        <v>5629375.0577438334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+HLOOKUP([62]INPUT_Date.Etc!$B$4,[62]ESNG!$T$4:$AI$58,11, FALSE)</f>
        <v>5405074.7292785114</v>
      </c>
    </row>
    <row r="12" spans="1:18" x14ac:dyDescent="0.3">
      <c r="A12" s="12" t="s">
        <v>21</v>
      </c>
      <c r="B12" s="22">
        <f>+HLOOKUP([62]INPUT_Date.Etc!$B$4,[62]Delaware!$A$4:$P$57,12, FALSE)</f>
        <v>27557</v>
      </c>
      <c r="C12" s="22">
        <f>+HLOOKUP([62]INPUT_Date.Etc!$B$4,[62]Maryland!$A$4:$P$57,12, FALSE)</f>
        <v>0</v>
      </c>
      <c r="D12" s="22">
        <f>+HLOOKUP([62]INPUT_Date.Etc!$B$4,[62]Sandpiper!$A$4:$P$57,12, FALSE)</f>
        <v>0</v>
      </c>
      <c r="E12" s="22">
        <f>+HLOOKUP([62]INPUT_Date.Etc!$B$4,[62]CFG!$A$4:$P$57,12, FALSE)</f>
        <v>0</v>
      </c>
      <c r="F12" s="22">
        <f>+HLOOKUP([62]INPUT_Date.Etc!$B$4,[62]FPUNG!$A$4:$P$116,12, FALSE)</f>
        <v>365623.8554873892</v>
      </c>
      <c r="G12" s="22">
        <f>+HLOOKUP([62]INPUT_Date.Etc!$B$4,[62]Electric!$E$4:$P$59,12, FALSE)</f>
        <v>0</v>
      </c>
      <c r="H12" s="22">
        <f>+HLOOKUP([62]INPUT_Date.Etc!$B$4,[62]ESNG!$A$4:$P$71,12,FALSE)</f>
        <v>191297.61941424655</v>
      </c>
      <c r="I12" s="23"/>
      <c r="J12" s="22">
        <f>+HLOOKUP([62]INPUT_Date.Etc!$B$4,[62]Delaware!$T$4:$AI$52,12, FALSE)</f>
        <v>31676</v>
      </c>
      <c r="K12" s="22">
        <f>+HLOOKUP([62]INPUT_Date.Etc!$B$4,[62]Maryland!$T$4:$AI$52,12, FALSE)</f>
        <v>0</v>
      </c>
      <c r="L12" s="22">
        <f>+HLOOKUP([62]INPUT_Date.Etc!$B$4,[62]Sandpiper!$A$4:$P$57,12, FALSE)</f>
        <v>0</v>
      </c>
      <c r="M12" s="22">
        <f>+HLOOKUP([62]INPUT_Date.Etc!$B$4,[62]CFG!$T$4:$AI$52,12, FALSE)</f>
        <v>0</v>
      </c>
      <c r="N12" s="22">
        <f>+HLOOKUP([62]INPUT_Date.Etc!$B$4,[62]FPUNG!$T$4:$AI$116,12, FALSE)</f>
        <v>283627.13643003214</v>
      </c>
      <c r="O12" s="22">
        <f>+HLOOKUP([62]INPUT_Date.Etc!$B$4,[62]Electric!$T$4:$AI$45,12, FALSE)</f>
        <v>0</v>
      </c>
      <c r="P12" s="22">
        <f>+HLOOKUP([62]INPUT_Date.Etc!$B$4,[62]ESNG!$T$4:$AI$58,12, FALSE)</f>
        <v>27894.098488985102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>
        <f>+HLOOKUP([62]INPUT_Date.Etc!$B$4,[62]ESNG!$A$4:$P$71,13,FALSE)</f>
        <v>-1916799.7982815437</v>
      </c>
      <c r="I13" s="23"/>
      <c r="J13" s="22">
        <f>+[62]Delaware!V10</f>
        <v>0</v>
      </c>
      <c r="K13" s="22">
        <f>+[62]Maryland!W10</f>
        <v>0</v>
      </c>
      <c r="L13" s="22">
        <v>0</v>
      </c>
      <c r="M13" s="22">
        <f>+[62]CFG!X10</f>
        <v>0</v>
      </c>
      <c r="N13" s="24">
        <v>0</v>
      </c>
      <c r="O13" s="22">
        <v>0</v>
      </c>
      <c r="P13" s="22">
        <f>+HLOOKUP([62]INPUT_Date.Etc!$B$4,[62]ESNG!$T$4:$AI$58,13, FALSE)</f>
        <v>-1681191.8027321005</v>
      </c>
    </row>
    <row r="14" spans="1:18" ht="15" thickBot="1" x14ac:dyDescent="0.35">
      <c r="A14" s="72" t="s">
        <v>180</v>
      </c>
      <c r="B14" s="27">
        <f t="shared" ref="B14:H14" si="0">SUM(B8:B13)</f>
        <v>919394</v>
      </c>
      <c r="C14" s="27">
        <f t="shared" si="0"/>
        <v>370570</v>
      </c>
      <c r="D14" s="27">
        <f t="shared" si="0"/>
        <v>75254</v>
      </c>
      <c r="E14" s="27">
        <f t="shared" si="0"/>
        <v>2608729.117732984</v>
      </c>
      <c r="F14" s="27">
        <f t="shared" si="0"/>
        <v>1116762.9488752561</v>
      </c>
      <c r="G14" s="27">
        <f t="shared" si="0"/>
        <v>46613</v>
      </c>
      <c r="H14" s="27">
        <f t="shared" si="0"/>
        <v>3903872.8788765362</v>
      </c>
      <c r="I14" s="23"/>
      <c r="J14" s="27">
        <f t="shared" ref="J14:P14" si="1">SUM(J8:J13)</f>
        <v>1047574</v>
      </c>
      <c r="K14" s="27">
        <f t="shared" si="1"/>
        <v>366817</v>
      </c>
      <c r="L14" s="27">
        <f>SUM(L8:L13)</f>
        <v>90508</v>
      </c>
      <c r="M14" s="27">
        <f t="shared" si="1"/>
        <v>2983165.0715746428</v>
      </c>
      <c r="N14" s="27">
        <f t="shared" si="1"/>
        <v>1066376.5696757264</v>
      </c>
      <c r="O14" s="27">
        <f t="shared" si="1"/>
        <v>44886</v>
      </c>
      <c r="P14" s="27">
        <f t="shared" si="1"/>
        <v>3751777.0250353962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+VLOOKUP([62]INPUT_Date.Etc!$B$4,[62]INPUT_Date.Etc!$A$14:$P$25,[62]INPUT_Date.Etc!$O$12)</f>
        <v>Volume for the Twelve Months ended December 31, 2020</v>
      </c>
      <c r="E17" s="74"/>
      <c r="F17" s="19"/>
      <c r="G17" s="19"/>
      <c r="H17" s="19"/>
      <c r="I17" s="75"/>
      <c r="J17" s="23"/>
      <c r="K17" s="15" t="str">
        <f>+VLOOKUP([62]INPUT_Date.Etc!$B$4,[62]INPUT_Date.Etc!$A$14:$P$25,[62]INPUT_Date.Etc!$P$12)</f>
        <v>Volume for the Twelve Months ended December 31, 2019</v>
      </c>
      <c r="L17" s="15" t="str">
        <f>+VLOOKUP([62]INPUT_Date.Etc!$B$4,[62]INPUT_Date.Etc!$A$14:$P$25,[62]INPUT_Date.Etc!$O$12)</f>
        <v>Volume for the Twelve Months ended December 31, 2020</v>
      </c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+HLOOKUP([62]INPUT_Date.Etc!$B$4,[62]Delaware!$A$4:$P$57,38, FALSE)</f>
        <v>2809694</v>
      </c>
      <c r="C19" s="22">
        <f>+HLOOKUP([62]INPUT_Date.Etc!$B$4,[62]Maryland!$A$4:$P$57,38, FALSE)</f>
        <v>461295</v>
      </c>
      <c r="D19" s="22">
        <f>+HLOOKUP([62]INPUT_Date.Etc!$B$4,[62]Sandpiper!$A$4:$P$57,38, FALSE)</f>
        <v>229485.3</v>
      </c>
      <c r="E19" s="22">
        <f>+HLOOKUP([62]INPUT_Date.Etc!$B$4,[62]CFG!$A$4:$P$57,38, FALSE)</f>
        <v>354511.05755185924</v>
      </c>
      <c r="F19" s="22">
        <f>+HLOOKUP([62]INPUT_Date.Etc!$B$4,[62]FPUNG!$A$4:$P$116,96, FALSE)</f>
        <v>1493149.0690427856</v>
      </c>
      <c r="G19" s="22">
        <f>+HLOOKUP([62]INPUT_Date.Etc!$B$4,[62]Electric!$E$4:$P$59,32, FALSE)</f>
        <v>305020</v>
      </c>
      <c r="H19" s="22">
        <f>+HLOOKUP([62]INPUT_Date.Etc!$B$4,[62]ESNG!$E$11:$P$15,2, FALSE)</f>
        <v>0</v>
      </c>
      <c r="I19" s="23"/>
      <c r="J19" s="22">
        <f>+HLOOKUP([62]INPUT_Date.Etc!$B$4,[62]Delaware!$T$4:$AI$52,38, FALSE)</f>
        <v>2958061</v>
      </c>
      <c r="K19" s="22">
        <f>+HLOOKUP([62]INPUT_Date.Etc!$B$4,[62]Maryland!$T$4:$AI$52,38, FALSE)</f>
        <v>517026</v>
      </c>
      <c r="L19" s="22">
        <f>+HLOOKUP([62]INPUT_Date.Etc!$B$4,[62]Sandpiper!$A$4:$P$57,38, FALSE)</f>
        <v>229485.3</v>
      </c>
      <c r="M19" s="22">
        <f>+HLOOKUP([62]INPUT_Date.Etc!$B$4,[62]CFG!$T$4:$AI$52,38, FALSE)</f>
        <v>352104.10653422866</v>
      </c>
      <c r="N19" s="22">
        <f>+HLOOKUP([62]INPUT_Date.Etc!$B$4,[62]FPUNG!$T$4:$AI$116,96, FALSE)</f>
        <v>1355909.7022105688</v>
      </c>
      <c r="O19" s="22">
        <f>+HLOOKUP([62]INPUT_Date.Etc!$B$4,[62]Electric!$T$4:$AI$45,32, FALSE)</f>
        <v>306445.42599999998</v>
      </c>
      <c r="P19" s="22">
        <v>0</v>
      </c>
    </row>
    <row r="20" spans="1:18" x14ac:dyDescent="0.3">
      <c r="A20" s="12" t="s">
        <v>18</v>
      </c>
      <c r="B20" s="22">
        <f>+HLOOKUP([62]INPUT_Date.Etc!$B$4,[62]Delaware!$A$4:$P$57,39, FALSE)</f>
        <v>2171122</v>
      </c>
      <c r="C20" s="22">
        <f>+HLOOKUP([62]INPUT_Date.Etc!$B$4,[62]Maryland!$A$4:$P$57,39, FALSE)</f>
        <v>1016817</v>
      </c>
      <c r="D20" s="22">
        <f>+HLOOKUP([62]INPUT_Date.Etc!$B$4,[62]Sandpiper!$A$4:$P$57,39, FALSE)</f>
        <v>291137.40000000002</v>
      </c>
      <c r="E20" s="22">
        <f>+HLOOKUP([62]INPUT_Date.Etc!$B$4,[62]CFG!$A$4:$P$57,39, FALSE)</f>
        <v>4308163.058720422</v>
      </c>
      <c r="F20" s="22">
        <f>+HLOOKUP([62]INPUT_Date.Etc!$B$4,[62]FPUNG!$A$4:$P$116,97, FALSE)</f>
        <v>1458225.1738241306</v>
      </c>
      <c r="G20" s="22">
        <f>+HLOOKUP([62]INPUT_Date.Etc!$B$4,[62]Electric!$E$4:$P$59,33, FALSE)</f>
        <v>293262</v>
      </c>
      <c r="H20" s="22">
        <f>+HLOOKUP([62]INPUT_Date.Etc!$B$4,[62]ESNG!$E$11:$P$15,3, FALSE)</f>
        <v>0</v>
      </c>
      <c r="I20" s="23"/>
      <c r="J20" s="22">
        <f>+HLOOKUP([62]INPUT_Date.Etc!$B$4,[62]Delaware!$T$4:$AI$52,39, FALSE)</f>
        <v>2321424</v>
      </c>
      <c r="K20" s="22">
        <f>+HLOOKUP([62]INPUT_Date.Etc!$B$4,[62]Maryland!$T$4:$AI$52,39, FALSE)</f>
        <v>1036585</v>
      </c>
      <c r="L20" s="22">
        <f>+HLOOKUP([62]INPUT_Date.Etc!$B$4,[62]Sandpiper!$A$4:$P$57,39, FALSE)</f>
        <v>291137.40000000002</v>
      </c>
      <c r="M20" s="22">
        <f>+HLOOKUP([62]INPUT_Date.Etc!$B$4,[62]CFG!$T$4:$AI$52,39, FALSE)</f>
        <v>4475776.0278508132</v>
      </c>
      <c r="N20" s="22">
        <f>+HLOOKUP([62]INPUT_Date.Etc!$B$4,[62]FPUNG!$T$4:$AI$116,97, FALSE)</f>
        <v>1669661.2645905153</v>
      </c>
      <c r="O20" s="22">
        <f>+HLOOKUP([62]INPUT_Date.Etc!$B$4,[62]Electric!$T$4:$AI$45,33, FALSE)</f>
        <v>310856.15399999998</v>
      </c>
      <c r="P20" s="22">
        <v>0</v>
      </c>
    </row>
    <row r="21" spans="1:18" x14ac:dyDescent="0.3">
      <c r="A21" s="12" t="s">
        <v>19</v>
      </c>
      <c r="B21" s="22">
        <f>+HLOOKUP([62]INPUT_Date.Etc!$B$4,[62]Delaware!$A$4:$P$57,40, FALSE)</f>
        <v>2887403</v>
      </c>
      <c r="C21" s="22">
        <f>+HLOOKUP([62]INPUT_Date.Etc!$B$4,[62]Maryland!$A$4:$P$57,40, FALSE)</f>
        <v>1701965</v>
      </c>
      <c r="D21" s="22">
        <f>+HLOOKUP([62]INPUT_Date.Etc!$B$4,[62]Sandpiper!$A$4:$P$57,40, FALSE)</f>
        <v>199841.9</v>
      </c>
      <c r="E21" s="22">
        <f>+HLOOKUP([62]INPUT_Date.Etc!$B$4,[62]CFG!$A$4:$P$57,40, FALSE)</f>
        <v>26840112.118025128</v>
      </c>
      <c r="F21" s="22">
        <f>+HLOOKUP([62]INPUT_Date.Etc!$B$4,[62]FPUNG!$A$4:$P$116,98, FALSE)</f>
        <v>4531784.5661700256</v>
      </c>
      <c r="G21" s="22">
        <f>+HLOOKUP([62]INPUT_Date.Etc!$B$4,[62]Electric!$E$4:$P$59,34, FALSE)</f>
        <v>14806</v>
      </c>
      <c r="H21" s="22">
        <v>0</v>
      </c>
      <c r="I21" s="23"/>
      <c r="J21" s="22">
        <f>+HLOOKUP([62]INPUT_Date.Etc!$B$4,[62]Delaware!$T$4:$AI$52,40, FALSE)</f>
        <v>3067958</v>
      </c>
      <c r="K21" s="22">
        <f>+HLOOKUP([62]INPUT_Date.Etc!$B$4,[62]Maryland!$T$4:$AI$52,40, FALSE)</f>
        <v>1772583</v>
      </c>
      <c r="L21" s="22">
        <f>+HLOOKUP([62]INPUT_Date.Etc!$B$4,[62]Sandpiper!$A$4:$P$57,40, FALSE)</f>
        <v>199841.9</v>
      </c>
      <c r="M21" s="22">
        <f>+HLOOKUP([62]INPUT_Date.Etc!$B$4,[62]CFG!$T$4:$AI$52,40, FALSE)</f>
        <v>27768125.251728505</v>
      </c>
      <c r="N21" s="22">
        <f>+HLOOKUP([62]INPUT_Date.Etc!$B$4,[62]FPUNG!$T$4:$AI$116,98, FALSE)</f>
        <v>4838587.8264680095</v>
      </c>
      <c r="O21" s="22">
        <f>+HLOOKUP([62]INPUT_Date.Etc!$B$4,[62]Electric!$T$4:$AI$45,34, FALSE)</f>
        <v>27928.576000000001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+HLOOKUP([62]INPUT_Date.Etc!$B$4,[62]ESNG!$A$4:$P$71,48,FALSE)</f>
        <v>56396272.156289391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+HLOOKUP([62]INPUT_Date.Etc!$B$4,[62]ESNG!$T$4:$AI$58,48, FALSE)</f>
        <v>56925329.472958371</v>
      </c>
    </row>
    <row r="23" spans="1:18" x14ac:dyDescent="0.3">
      <c r="A23" s="12" t="s">
        <v>21</v>
      </c>
      <c r="B23" s="22">
        <f>+HLOOKUP([62]INPUT_Date.Etc!$B$4,[62]Delaware!$A$4:$P$57,41, FALSE)</f>
        <v>260375</v>
      </c>
      <c r="C23" s="22">
        <f>+HLOOKUP([62]INPUT_Date.Etc!$B$4,[62]Maryland!$A$4:$P$57,41, FALSE)</f>
        <v>0</v>
      </c>
      <c r="D23" s="22">
        <f>+HLOOKUP([62]INPUT_Date.Etc!$B$4,[62]Sandpiper!$A$4:$P$57,41, FALSE)</f>
        <v>0</v>
      </c>
      <c r="E23" s="22">
        <f>+HLOOKUP([62]INPUT_Date.Etc!$B$4,[62]CFG!$A$4:$P$57,41, FALSE)</f>
        <v>0</v>
      </c>
      <c r="F23" s="22">
        <f>+HLOOKUP([62]INPUT_Date.Etc!$B$4,[62]FPUNG!$A$4:$P$116,99, FALSE)</f>
        <v>2897002.6248904471</v>
      </c>
      <c r="G23" s="22">
        <f>+HLOOKUP([62]INPUT_Date.Etc!$B$4,[62]Electric!$E$4:$P$59,35, FALSE)</f>
        <v>0</v>
      </c>
      <c r="H23" s="22">
        <f>+HLOOKUP([62]INPUT_Date.Etc!$B$4,[62]ESNG!$A$4:$P$71,49,FALSE)</f>
        <v>382702.40743573615</v>
      </c>
      <c r="I23" s="23"/>
      <c r="J23" s="22">
        <f>+HLOOKUP([62]INPUT_Date.Etc!$B$4,[62]Delaware!$T$4:$AI$52,41, FALSE)</f>
        <v>212140</v>
      </c>
      <c r="K23" s="22">
        <f>+HLOOKUP([62]INPUT_Date.Etc!$B$4,[62]Maryland!$T$4:$AI$52,41, FALSE)</f>
        <v>0</v>
      </c>
      <c r="L23" s="22">
        <f>+HLOOKUP([62]INPUT_Date.Etc!$B$4,[62]Sandpiper!$A$4:$P$57,41, FALSE)</f>
        <v>0</v>
      </c>
      <c r="M23" s="22">
        <f>+HLOOKUP([62]INPUT_Date.Etc!$B$4,[62]CFG!$T$4:$AI$52,41, FALSE)</f>
        <v>0</v>
      </c>
      <c r="N23" s="22">
        <f>+HLOOKUP([62]INPUT_Date.Etc!$B$4,[62]FPUNG!$T$4:$AI$116,99, FALSE)</f>
        <v>2507473.7423312883</v>
      </c>
      <c r="O23" s="22">
        <f>+HLOOKUP([62]INPUT_Date.Etc!$B$4,[62]Electric!$T$4:$AI$45,35, FALSE)</f>
        <v>0</v>
      </c>
      <c r="P23" s="22">
        <f>+HLOOKUP([62]INPUT_Date.Etc!$B$4,[62]ESNG!$T$4:$AI$58,49, FALSE)</f>
        <v>597710.22637323232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>
        <f>+HLOOKUP([62]INPUT_Date.Etc!$B$4,[62]ESNG!$A$4:$P$71,50,FALSE)</f>
        <v>-12849608.41193342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+HLOOKUP([62]INPUT_Date.Etc!$B$4,[62]ESNG!$T$4:$AI$58,50, FALSE)</f>
        <v>-12980530.216464523</v>
      </c>
    </row>
    <row r="25" spans="1:18" ht="15" thickBot="1" x14ac:dyDescent="0.35">
      <c r="A25" s="72" t="s">
        <v>180</v>
      </c>
      <c r="B25" s="27">
        <f t="shared" ref="B25:H25" si="2">SUM(B19:B24)</f>
        <v>8128594</v>
      </c>
      <c r="C25" s="27">
        <f t="shared" si="2"/>
        <v>3180077</v>
      </c>
      <c r="D25" s="27">
        <f t="shared" si="2"/>
        <v>720464.6</v>
      </c>
      <c r="E25" s="76">
        <f t="shared" si="2"/>
        <v>31502786.23429741</v>
      </c>
      <c r="F25" s="76">
        <f t="shared" si="2"/>
        <v>10380161.433927389</v>
      </c>
      <c r="G25" s="27">
        <f t="shared" si="2"/>
        <v>613088</v>
      </c>
      <c r="H25" s="27">
        <f t="shared" si="2"/>
        <v>43929366.151791707</v>
      </c>
      <c r="I25" s="23"/>
      <c r="J25" s="27">
        <f t="shared" ref="J25:P25" si="3">SUM(J19:J24)</f>
        <v>8559583</v>
      </c>
      <c r="K25" s="27">
        <f t="shared" si="3"/>
        <v>3326194</v>
      </c>
      <c r="L25" s="27">
        <f>SUM(L19:L24)</f>
        <v>720464.6</v>
      </c>
      <c r="M25" s="27">
        <f t="shared" si="3"/>
        <v>32596005.386113547</v>
      </c>
      <c r="N25" s="27">
        <f t="shared" si="3"/>
        <v>10371632.535600383</v>
      </c>
      <c r="O25" s="27">
        <f t="shared" si="3"/>
        <v>645230.15599999996</v>
      </c>
      <c r="P25" s="27">
        <f t="shared" si="3"/>
        <v>44542509.482867077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sheetProtection password="EF28" sheet="1" objects="1" scenarios="1"/>
  <pageMargins left="0.7" right="0.7" top="0.75" bottom="0.75" header="0.3" footer="0.3"/>
  <pageSetup scale="5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D6" sqref="D6"/>
    </sheetView>
  </sheetViews>
  <sheetFormatPr defaultColWidth="9.44140625" defaultRowHeight="14.4" x14ac:dyDescent="0.3"/>
  <cols>
    <col min="1" max="1" width="23.44140625" customWidth="1"/>
    <col min="2" max="4" width="13.44140625" customWidth="1"/>
    <col min="5" max="5" width="13.44140625" style="64" customWidth="1"/>
    <col min="6" max="8" width="13.44140625" customWidth="1"/>
    <col min="9" max="9" width="5.5546875" style="65" customWidth="1"/>
    <col min="10" max="16" width="13.44140625" customWidth="1"/>
  </cols>
  <sheetData>
    <row r="1" spans="1:18" ht="16.2" x14ac:dyDescent="0.4">
      <c r="H1" s="7" t="s">
        <v>6</v>
      </c>
    </row>
    <row r="2" spans="1:18" ht="16.2" x14ac:dyDescent="0.4">
      <c r="A2" s="1"/>
      <c r="B2" s="66"/>
      <c r="E2" s="67"/>
      <c r="H2" s="7" t="s">
        <v>177</v>
      </c>
    </row>
    <row r="3" spans="1:18" ht="16.2" x14ac:dyDescent="0.4">
      <c r="A3" s="1"/>
      <c r="B3" s="66"/>
      <c r="E3" s="67"/>
      <c r="G3" s="7"/>
      <c r="H3" s="7" t="str">
        <f>+[73]RegCust!G3</f>
        <v>For the Eleven Months ended November 30, 2021 and 2020</v>
      </c>
    </row>
    <row r="4" spans="1:18" ht="16.2" x14ac:dyDescent="0.4">
      <c r="A4" s="1"/>
      <c r="B4" s="66"/>
      <c r="E4" s="67"/>
      <c r="G4" s="7"/>
      <c r="H4" s="7"/>
    </row>
    <row r="5" spans="1:18" ht="16.2" x14ac:dyDescent="0.4">
      <c r="A5" s="1"/>
      <c r="B5" s="66"/>
      <c r="E5" s="67"/>
      <c r="G5" s="7"/>
      <c r="H5" s="7"/>
    </row>
    <row r="6" spans="1:18" s="12" customFormat="1" ht="13.2" x14ac:dyDescent="0.25">
      <c r="B6" s="68"/>
      <c r="C6" s="15"/>
      <c r="D6" s="15" t="str">
        <f>+VLOOKUP([73]INPUT_Date.Etc!$B$4,[73]INPUT_Date.Etc!$A$14:$P$25,[73]INPUT_Date.Etc!$M$12)</f>
        <v>Volume for the Month of November 2021</v>
      </c>
      <c r="E6" s="16"/>
      <c r="F6" s="17"/>
      <c r="G6" s="17"/>
      <c r="H6" s="17"/>
      <c r="I6" s="13"/>
      <c r="J6" s="69"/>
      <c r="K6" s="15"/>
      <c r="L6" s="15"/>
      <c r="M6" s="15" t="str">
        <f>+VLOOKUP([73]INPUT_Date.Etc!$B$4,[73]INPUT_Date.Etc!$A$14:$P$25,[73]INPUT_Date.Etc!$N$12)</f>
        <v>Volume for the Month of November 2020</v>
      </c>
      <c r="N6" s="69"/>
      <c r="O6" s="69"/>
      <c r="P6" s="17"/>
    </row>
    <row r="7" spans="1:18" ht="40.200000000000003" x14ac:dyDescent="0.3">
      <c r="A7" s="70" t="s">
        <v>178</v>
      </c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7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  <c r="Q7" s="12"/>
      <c r="R7" s="12"/>
    </row>
    <row r="8" spans="1:18" x14ac:dyDescent="0.3">
      <c r="A8" s="12" t="s">
        <v>17</v>
      </c>
      <c r="B8" s="22">
        <f>+HLOOKUP([73]INPUT_Date.Etc!$B$4,[73]Delaware!$A$4:$P$57,9, FALSE)</f>
        <v>207136</v>
      </c>
      <c r="C8" s="22">
        <f>+HLOOKUP([73]INPUT_Date.Etc!$B$4,[73]Maryland!$A$4:$P$57,9, FALSE)</f>
        <v>26246</v>
      </c>
      <c r="D8" s="22">
        <f>+HLOOKUP([73]INPUT_Date.Etc!$B$4,[73]Sandpiper!$A$4:$P$57,9, FALSE)</f>
        <v>15053</v>
      </c>
      <c r="E8" s="22">
        <f>+HLOOKUP([73]INPUT_Date.Etc!$B$4,[73]CFG!$A$4:$P$57,9, FALSE)</f>
        <v>29298.336741648727</v>
      </c>
      <c r="F8" s="22">
        <f>+HLOOKUP([73]INPUT_Date.Etc!$B$4,[73]FPUNG!$A$4:$P$116,9, FALSE)</f>
        <v>119962.08394196286</v>
      </c>
      <c r="G8" s="22">
        <f>+HLOOKUP([73]INPUT_Date.Etc!$B$4,[73]Electric!$E$4:$P$59,9, FALSE)</f>
        <v>0</v>
      </c>
      <c r="H8" s="22">
        <f>+HLOOKUP([73]INPUT_Date.Etc!$B$4,[73]ESNG!$E$11:$P$15,2, FALSE)</f>
        <v>0</v>
      </c>
      <c r="I8" s="23"/>
      <c r="J8" s="22">
        <f>+HLOOKUP([73]INPUT_Date.Etc!$B$4,[73]Delaware!$T$4:$AI$52,9, FALSE)</f>
        <v>171614</v>
      </c>
      <c r="K8" s="22">
        <f>+HLOOKUP([73]INPUT_Date.Etc!$B$4,[73]Maryland!$T$4:$AI$52,9, FALSE)</f>
        <v>26469</v>
      </c>
      <c r="L8" s="22">
        <f>+HLOOKUP([73]INPUT_Date.Etc!$B$4,[73]Sandpiper!$T$4:$AI$52,9, FALSE)</f>
        <v>12771</v>
      </c>
      <c r="M8" s="22">
        <f>+HLOOKUP([73]INPUT_Date.Etc!$B$4,[73]CFG!$T$4:$AI$52,9, FALSE)</f>
        <v>25377.381439284229</v>
      </c>
      <c r="N8" s="22">
        <f>+HLOOKUP([73]INPUT_Date.Etc!$B$4,[73]FPUNG!$T$4:$AI$116,9, FALSE)</f>
        <v>116736.01324374712</v>
      </c>
      <c r="O8" s="22">
        <f>+HLOOKUP([73]INPUT_Date.Etc!$B$4,[73]Electric!$T$4:$AI$45,9, FALSE)</f>
        <v>22265</v>
      </c>
      <c r="P8" s="22">
        <v>0</v>
      </c>
    </row>
    <row r="9" spans="1:18" x14ac:dyDescent="0.3">
      <c r="A9" s="12" t="s">
        <v>18</v>
      </c>
      <c r="B9" s="22">
        <f>+HLOOKUP([73]INPUT_Date.Etc!$B$4,[73]Delaware!$A$4:$P$57,10, FALSE)</f>
        <v>176921</v>
      </c>
      <c r="C9" s="22">
        <f>+HLOOKUP([73]INPUT_Date.Etc!$B$4,[73]Maryland!$A$4:$P$57,10, FALSE)</f>
        <v>78547</v>
      </c>
      <c r="D9" s="22">
        <f>+HLOOKUP([73]INPUT_Date.Etc!$B$4,[73]Sandpiper!$A$4:$P$57,10, FALSE)</f>
        <v>20559</v>
      </c>
      <c r="E9" s="22">
        <f>+HLOOKUP([73]INPUT_Date.Etc!$B$4,[73]CFG!$A$4:$P$57,10, FALSE)</f>
        <v>384475.62469568616</v>
      </c>
      <c r="F9" s="22">
        <f>+HLOOKUP([73]INPUT_Date.Etc!$B$4,[73]FPUNG!$A$4:$P$116,10, FALSE)</f>
        <v>122878.53637160368</v>
      </c>
      <c r="G9" s="22">
        <f>+HLOOKUP([73]INPUT_Date.Etc!$B$4,[73]Electric!$E$4:$P$59,10, FALSE)</f>
        <v>0</v>
      </c>
      <c r="H9" s="22">
        <f>+HLOOKUP([73]INPUT_Date.Etc!$B$4,[73]ESNG!$E$11:$P$15,3, FALSE)</f>
        <v>0</v>
      </c>
      <c r="I9" s="23"/>
      <c r="J9" s="22">
        <f>+HLOOKUP([73]INPUT_Date.Etc!$B$4,[73]Delaware!$T$4:$AI$52,10, FALSE)</f>
        <v>160282</v>
      </c>
      <c r="K9" s="22">
        <f>+HLOOKUP([73]INPUT_Date.Etc!$B$4,[73]Maryland!$T$4:$AI$52,10, FALSE)</f>
        <v>72285</v>
      </c>
      <c r="L9" s="22">
        <f>+HLOOKUP([73]INPUT_Date.Etc!$B$4,[73]Sandpiper!$T$4:$AI$52,10, FALSE)</f>
        <v>18027</v>
      </c>
      <c r="M9" s="22">
        <f>+HLOOKUP([73]INPUT_Date.Etc!$B$4,[73]CFG!$T$4:$AI$52,10, FALSE)</f>
        <v>346066.17294770683</v>
      </c>
      <c r="N9" s="22">
        <f>+HLOOKUP([73]INPUT_Date.Etc!$B$4,[73]FPUNG!$T$4:$AI$116,10, FALSE)</f>
        <v>120590.14314928421</v>
      </c>
      <c r="O9" s="22">
        <f>+HLOOKUP([73]INPUT_Date.Etc!$B$4,[73]Electric!$T$4:$AI$45,10, FALSE)</f>
        <v>24876</v>
      </c>
      <c r="P9" s="22">
        <v>0</v>
      </c>
    </row>
    <row r="10" spans="1:18" x14ac:dyDescent="0.3">
      <c r="A10" s="12" t="s">
        <v>19</v>
      </c>
      <c r="B10" s="22">
        <f>+HLOOKUP([73]INPUT_Date.Etc!$B$4,[73]Delaware!$A$4:$P$57,11, FALSE)</f>
        <v>234707</v>
      </c>
      <c r="C10" s="22">
        <f>+HLOOKUP([73]INPUT_Date.Etc!$B$4,[73]Maryland!$A$4:$P$57,11, FALSE)</f>
        <v>176856</v>
      </c>
      <c r="D10" s="22">
        <f>+HLOOKUP([73]INPUT_Date.Etc!$B$4,[73]Sandpiper!$A$4:$P$57,11, FALSE)</f>
        <v>24342</v>
      </c>
      <c r="E10" s="22">
        <f>+HLOOKUP([73]INPUT_Date.Etc!$B$4,[73]CFG!$A$4:$P$57,11, FALSE)</f>
        <v>2222061.7012367323</v>
      </c>
      <c r="F10" s="22">
        <f>+HLOOKUP([73]INPUT_Date.Etc!$B$4,[73]FPUNG!$A$4:$P$116,11, FALSE)</f>
        <v>414257.90729379689</v>
      </c>
      <c r="G10" s="22">
        <f>+HLOOKUP([73]INPUT_Date.Etc!$B$4,[73]Electric!$E$4:$P$59,11, FALSE)</f>
        <v>0</v>
      </c>
      <c r="H10" s="22">
        <v>0</v>
      </c>
      <c r="I10" s="23"/>
      <c r="J10" s="22">
        <f>+HLOOKUP([73]INPUT_Date.Etc!$B$4,[73]Delaware!$T$4:$AI$52,11, FALSE)</f>
        <v>221926</v>
      </c>
      <c r="K10" s="22">
        <f>+HLOOKUP([73]INPUT_Date.Etc!$B$4,[73]Maryland!$T$4:$AI$52,11, FALSE)</f>
        <v>149114</v>
      </c>
      <c r="L10" s="22">
        <f>+HLOOKUP([73]INPUT_Date.Etc!$B$4,[73]Sandpiper!$T$4:$AI$52,11, FALSE)</f>
        <v>18663</v>
      </c>
      <c r="M10" s="22">
        <f>+HLOOKUP([73]INPUT_Date.Etc!$B$4,[73]CFG!$T$4:$AI$52,11, FALSE)</f>
        <v>2005467.3084039344</v>
      </c>
      <c r="N10" s="22">
        <f>+HLOOKUP([73]INPUT_Date.Etc!$B$4,[73]FPUNG!$T$4:$AI$116,11, FALSE)</f>
        <v>379388.4107508033</v>
      </c>
      <c r="O10" s="22">
        <f>+HLOOKUP([73]INPUT_Date.Etc!$B$4,[73]Electric!$T$4:$AI$45,11, FALSE)</f>
        <v>268</v>
      </c>
      <c r="P10" s="22">
        <v>0</v>
      </c>
    </row>
    <row r="11" spans="1:18" x14ac:dyDescent="0.3">
      <c r="A11" s="12" t="s">
        <v>179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 t="e">
        <f>+HLOOKUP([73]INPUT_Date.Etc!$B$4,[73]ESNG!$A$4:$P$71,11,FALSE)</f>
        <v>#DIV/0!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+HLOOKUP([73]INPUT_Date.Etc!$B$4,[73]ESNG!$T$4:$AI$58,11, FALSE)</f>
        <v>4666835.3337246412</v>
      </c>
    </row>
    <row r="12" spans="1:18" x14ac:dyDescent="0.3">
      <c r="A12" s="12" t="s">
        <v>21</v>
      </c>
      <c r="B12" s="22">
        <f>+HLOOKUP([73]INPUT_Date.Etc!$B$4,[73]Delaware!$A$4:$P$57,12, FALSE)</f>
        <v>25912</v>
      </c>
      <c r="C12" s="22">
        <f>+HLOOKUP([73]INPUT_Date.Etc!$B$4,[73]Maryland!$A$4:$P$57,12, FALSE)</f>
        <v>0</v>
      </c>
      <c r="D12" s="22">
        <f>+HLOOKUP([73]INPUT_Date.Etc!$B$4,[73]Sandpiper!$A$4:$P$57,12, FALSE)</f>
        <v>0</v>
      </c>
      <c r="E12" s="22">
        <f>+HLOOKUP([73]INPUT_Date.Etc!$B$4,[73]CFG!$A$4:$P$57,12, FALSE)</f>
        <v>0</v>
      </c>
      <c r="F12" s="22">
        <f>+HLOOKUP([73]INPUT_Date.Etc!$B$4,[73]FPUNG!$A$4:$P$116,12, FALSE)</f>
        <v>303955.71136430034</v>
      </c>
      <c r="G12" s="22">
        <f>+HLOOKUP([73]INPUT_Date.Etc!$B$4,[73]Electric!$E$4:$P$59,12, FALSE)</f>
        <v>0</v>
      </c>
      <c r="H12" s="22" t="e">
        <f>+HLOOKUP([73]INPUT_Date.Etc!$B$4,[73]ESNG!$A$4:$P$71,12,FALSE)</f>
        <v>#DIV/0!</v>
      </c>
      <c r="I12" s="23"/>
      <c r="J12" s="22">
        <f>+HLOOKUP([73]INPUT_Date.Etc!$B$4,[73]Delaware!$T$4:$AI$52,12, FALSE)</f>
        <v>21708</v>
      </c>
      <c r="K12" s="22">
        <f>+HLOOKUP([73]INPUT_Date.Etc!$B$4,[73]Maryland!$T$4:$AI$52,12, FALSE)</f>
        <v>0</v>
      </c>
      <c r="L12" s="22">
        <f>+HLOOKUP([73]INPUT_Date.Etc!$B$4,[73]Sandpiper!$A$4:$P$57,12, FALSE)</f>
        <v>0</v>
      </c>
      <c r="M12" s="22">
        <f>+HLOOKUP([73]INPUT_Date.Etc!$B$4,[73]CFG!$T$4:$AI$52,12, FALSE)</f>
        <v>0</v>
      </c>
      <c r="N12" s="22">
        <f>+HLOOKUP([73]INPUT_Date.Etc!$B$4,[73]FPUNG!$T$4:$AI$116,12, FALSE)</f>
        <v>282586.74544746324</v>
      </c>
      <c r="O12" s="22">
        <f>+HLOOKUP([73]INPUT_Date.Etc!$B$4,[73]Electric!$T$4:$AI$45,12, FALSE)</f>
        <v>0</v>
      </c>
      <c r="P12" s="22">
        <f>+HLOOKUP([73]INPUT_Date.Etc!$B$4,[73]ESNG!$T$4:$AI$58,12, FALSE)</f>
        <v>29215.062064658276</v>
      </c>
    </row>
    <row r="13" spans="1:18" x14ac:dyDescent="0.3">
      <c r="A13" s="10" t="s">
        <v>22</v>
      </c>
      <c r="B13" s="22">
        <v>0</v>
      </c>
      <c r="C13" s="22">
        <v>0</v>
      </c>
      <c r="D13" s="22">
        <v>0</v>
      </c>
      <c r="E13" s="22">
        <v>0</v>
      </c>
      <c r="F13" s="24">
        <v>0</v>
      </c>
      <c r="G13" s="22">
        <v>0</v>
      </c>
      <c r="H13" s="22" t="e">
        <f>+HLOOKUP([73]INPUT_Date.Etc!$B$4,[73]ESNG!$A$4:$P$71,13,FALSE)</f>
        <v>#DIV/0!</v>
      </c>
      <c r="I13" s="23"/>
      <c r="J13" s="22">
        <f>+[73]Delaware!V10</f>
        <v>0</v>
      </c>
      <c r="K13" s="22">
        <f>+[73]Maryland!W10</f>
        <v>0</v>
      </c>
      <c r="L13" s="22">
        <v>0</v>
      </c>
      <c r="M13" s="22">
        <f>+[73]CFG!X10</f>
        <v>0</v>
      </c>
      <c r="N13" s="24">
        <v>0</v>
      </c>
      <c r="O13" s="22">
        <v>0</v>
      </c>
      <c r="P13" s="22">
        <f>+HLOOKUP([73]INPUT_Date.Etc!$B$4,[73]ESNG!$T$4:$AI$58,13, FALSE)</f>
        <v>-1172181.1156506645</v>
      </c>
    </row>
    <row r="14" spans="1:18" ht="15" thickBot="1" x14ac:dyDescent="0.35">
      <c r="A14" s="72" t="s">
        <v>180</v>
      </c>
      <c r="B14" s="27">
        <f t="shared" ref="B14:H14" si="0">SUM(B8:B13)</f>
        <v>644676</v>
      </c>
      <c r="C14" s="27">
        <f t="shared" si="0"/>
        <v>281649</v>
      </c>
      <c r="D14" s="27">
        <f t="shared" si="0"/>
        <v>59954</v>
      </c>
      <c r="E14" s="27">
        <f t="shared" si="0"/>
        <v>2635835.6626740671</v>
      </c>
      <c r="F14" s="27">
        <f t="shared" si="0"/>
        <v>961054.23897166376</v>
      </c>
      <c r="G14" s="27">
        <f t="shared" si="0"/>
        <v>0</v>
      </c>
      <c r="H14" s="27" t="e">
        <f t="shared" si="0"/>
        <v>#DIV/0!</v>
      </c>
      <c r="I14" s="23"/>
      <c r="J14" s="27">
        <f t="shared" ref="J14:P14" si="1">SUM(J8:J13)</f>
        <v>575530</v>
      </c>
      <c r="K14" s="27">
        <f t="shared" si="1"/>
        <v>247868</v>
      </c>
      <c r="L14" s="27">
        <f>SUM(L8:L13)</f>
        <v>49461</v>
      </c>
      <c r="M14" s="27">
        <f t="shared" si="1"/>
        <v>2376910.8627909254</v>
      </c>
      <c r="N14" s="27">
        <f t="shared" si="1"/>
        <v>899301.3125912979</v>
      </c>
      <c r="O14" s="27">
        <f t="shared" si="1"/>
        <v>47409</v>
      </c>
      <c r="P14" s="27">
        <f t="shared" si="1"/>
        <v>3523869.2801386346</v>
      </c>
    </row>
    <row r="15" spans="1:18" x14ac:dyDescent="0.3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3">
      <c r="A16" s="10"/>
      <c r="B16" s="23"/>
      <c r="C16" s="73"/>
      <c r="D16" s="73"/>
      <c r="E16" s="23"/>
      <c r="F16" s="23"/>
      <c r="G16" s="23"/>
      <c r="H16" s="23"/>
      <c r="I16" s="23"/>
      <c r="J16" s="23"/>
      <c r="K16" s="23"/>
      <c r="L16" s="73"/>
      <c r="M16" s="23"/>
      <c r="N16" s="23"/>
      <c r="O16" s="23"/>
      <c r="P16" s="23"/>
    </row>
    <row r="17" spans="1:18" x14ac:dyDescent="0.3">
      <c r="A17" s="10"/>
      <c r="B17" s="28"/>
      <c r="C17" s="15"/>
      <c r="D17" s="15" t="str">
        <f>+VLOOKUP([73]INPUT_Date.Etc!$B$4,[73]INPUT_Date.Etc!$A$14:$P$25,[73]INPUT_Date.Etc!$O$12)</f>
        <v>Volume for the Eleven Months ended November 30, 2021</v>
      </c>
      <c r="E17" s="74"/>
      <c r="F17" s="19"/>
      <c r="G17" s="19"/>
      <c r="H17" s="19"/>
      <c r="I17" s="75"/>
      <c r="J17" s="23"/>
      <c r="K17" s="15" t="str">
        <f>+VLOOKUP([73]INPUT_Date.Etc!$B$4,[73]INPUT_Date.Etc!$A$14:$P$25,[73]INPUT_Date.Etc!$P$12)</f>
        <v>Volume for the Eleven Months ended November 30, 2020</v>
      </c>
      <c r="L17" s="15"/>
      <c r="M17" s="28"/>
      <c r="N17" s="28"/>
      <c r="O17" s="28"/>
      <c r="P17" s="23"/>
    </row>
    <row r="18" spans="1:18" ht="40.200000000000003" x14ac:dyDescent="0.3">
      <c r="A18" s="70" t="s">
        <v>178</v>
      </c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7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  <c r="Q18" s="12"/>
      <c r="R18" s="12"/>
    </row>
    <row r="19" spans="1:18" x14ac:dyDescent="0.3">
      <c r="A19" s="12" t="s">
        <v>17</v>
      </c>
      <c r="B19" s="22">
        <f>+HLOOKUP([73]INPUT_Date.Etc!$B$4,[73]Delaware!$A$4:$P$57,38, FALSE)</f>
        <v>2824452</v>
      </c>
      <c r="C19" s="22">
        <f>+HLOOKUP([73]INPUT_Date.Etc!$B$4,[73]Maryland!$A$4:$P$57,38, FALSE)</f>
        <v>476754</v>
      </c>
      <c r="D19" s="22">
        <f>+HLOOKUP([73]INPUT_Date.Etc!$B$4,[73]Sandpiper!$A$4:$P$57,38, FALSE)</f>
        <v>245156</v>
      </c>
      <c r="E19" s="22">
        <f>+HLOOKUP([73]INPUT_Date.Etc!$B$4,[73]CFG!$A$4:$P$57,38, FALSE)</f>
        <v>339024.93426818674</v>
      </c>
      <c r="F19" s="22">
        <f>+HLOOKUP([73]INPUT_Date.Etc!$B$4,[73]FPUNG!$A$4:$P$116,96, FALSE)</f>
        <v>1415398.9531600142</v>
      </c>
      <c r="G19" s="22">
        <f>+HLOOKUP([73]INPUT_Date.Etc!$B$4,[73]Electric!$E$4:$P$59,32, FALSE)</f>
        <v>238458</v>
      </c>
      <c r="H19" s="22">
        <f>+HLOOKUP([73]INPUT_Date.Etc!$B$4,[73]ESNG!$E$11:$P$15,2, FALSE)</f>
        <v>0</v>
      </c>
      <c r="I19" s="23"/>
      <c r="J19" s="22">
        <f>+HLOOKUP([73]INPUT_Date.Etc!$B$4,[73]Delaware!$T$4:$AI$52,38, FALSE)</f>
        <v>2451640</v>
      </c>
      <c r="K19" s="22">
        <f>+HLOOKUP([73]INPUT_Date.Etc!$B$4,[73]Maryland!$T$4:$AI$52,38, FALSE)</f>
        <v>402075</v>
      </c>
      <c r="L19" s="22">
        <f>+HLOOKUP([73]INPUT_Date.Etc!$B$4,[73]Sandpiper!$T$4:$AI$57,38, FALSE)</f>
        <v>200041.3</v>
      </c>
      <c r="M19" s="22">
        <f>+HLOOKUP([73]INPUT_Date.Etc!$B$4,[73]CFG!$T$4:$AI$52,38, FALSE)</f>
        <v>307273.18434122414</v>
      </c>
      <c r="N19" s="22">
        <f>+HLOOKUP([73]INPUT_Date.Etc!$B$4,[73]FPUNG!$T$4:$AI$116,96, FALSE)</f>
        <v>1306121.4597332124</v>
      </c>
      <c r="O19" s="22">
        <f>+HLOOKUP([73]INPUT_Date.Etc!$B$4,[73]Electric!$T$4:$AI$45,32, FALSE)</f>
        <v>281620</v>
      </c>
      <c r="P19" s="22">
        <v>0</v>
      </c>
    </row>
    <row r="20" spans="1:18" x14ac:dyDescent="0.3">
      <c r="A20" s="12" t="s">
        <v>18</v>
      </c>
      <c r="B20" s="22">
        <f>+HLOOKUP([73]INPUT_Date.Etc!$B$4,[73]Delaware!$A$4:$P$57,39, FALSE)</f>
        <v>2109091</v>
      </c>
      <c r="C20" s="22">
        <f>+HLOOKUP([73]INPUT_Date.Etc!$B$4,[73]Maryland!$A$4:$P$57,39, FALSE)</f>
        <v>965498</v>
      </c>
      <c r="D20" s="22">
        <f>+HLOOKUP([73]INPUT_Date.Etc!$B$4,[73]Sandpiper!$A$4:$P$57,39, FALSE)</f>
        <v>319138</v>
      </c>
      <c r="E20" s="22">
        <f>+HLOOKUP([73]INPUT_Date.Etc!$B$4,[73]CFG!$A$4:$P$57,39, FALSE)</f>
        <v>4120232.9184925514</v>
      </c>
      <c r="F20" s="22">
        <f>+HLOOKUP([73]INPUT_Date.Etc!$B$4,[73]FPUNG!$A$4:$P$116,97, FALSE)</f>
        <v>1437460.6436848759</v>
      </c>
      <c r="G20" s="22">
        <f>+HLOOKUP([73]INPUT_Date.Etc!$B$4,[73]Electric!$E$4:$P$59,33, FALSE)</f>
        <v>232873</v>
      </c>
      <c r="H20" s="22">
        <f>+HLOOKUP([73]INPUT_Date.Etc!$B$4,[73]ESNG!$E$11:$P$15,3, FALSE)</f>
        <v>0</v>
      </c>
      <c r="I20" s="23"/>
      <c r="J20" s="22">
        <f>+HLOOKUP([73]INPUT_Date.Etc!$B$4,[73]Delaware!$T$4:$AI$52,39, FALSE)</f>
        <v>1902060</v>
      </c>
      <c r="K20" s="22">
        <f>+HLOOKUP([73]INPUT_Date.Etc!$B$4,[73]Maryland!$T$4:$AI$52,39, FALSE)</f>
        <v>891670</v>
      </c>
      <c r="L20" s="22">
        <f>+HLOOKUP([73]INPUT_Date.Etc!$B$4,[73]Sandpiper!$T$4:$AI$57,39, FALSE)</f>
        <v>268044.40000000002</v>
      </c>
      <c r="M20" s="22">
        <f>+HLOOKUP([73]INPUT_Date.Etc!$B$4,[73]CFG!$T$4:$AI$52,39, FALSE)</f>
        <v>3901221.2571818102</v>
      </c>
      <c r="N20" s="22">
        <f>+HLOOKUP([73]INPUT_Date.Etc!$B$4,[73]FPUNG!$T$4:$AI$116,97, FALSE)</f>
        <v>1312488.3299250167</v>
      </c>
      <c r="O20" s="22">
        <f>+HLOOKUP([73]INPUT_Date.Etc!$B$4,[73]Electric!$T$4:$AI$45,33, FALSE)</f>
        <v>270609</v>
      </c>
      <c r="P20" s="22">
        <v>0</v>
      </c>
    </row>
    <row r="21" spans="1:18" x14ac:dyDescent="0.3">
      <c r="A21" s="12" t="s">
        <v>19</v>
      </c>
      <c r="B21" s="22">
        <f>+HLOOKUP([73]INPUT_Date.Etc!$B$4,[73]Delaware!$A$4:$P$57,40, FALSE)</f>
        <v>2651395</v>
      </c>
      <c r="C21" s="22">
        <f>+HLOOKUP([73]INPUT_Date.Etc!$B$4,[73]Maryland!$A$4:$P$57,40, FALSE)</f>
        <v>1714147</v>
      </c>
      <c r="D21" s="22">
        <f>+HLOOKUP([73]INPUT_Date.Etc!$B$4,[73]Sandpiper!$A$4:$P$57,40, FALSE)</f>
        <v>233448</v>
      </c>
      <c r="E21" s="22">
        <f>+HLOOKUP([73]INPUT_Date.Etc!$B$4,[73]CFG!$A$4:$P$57,40, FALSE)</f>
        <v>25696668.229623135</v>
      </c>
      <c r="F21" s="22">
        <f>+HLOOKUP([73]INPUT_Date.Etc!$B$4,[73]FPUNG!$A$4:$P$116,98, FALSE)</f>
        <v>4391365.4942058632</v>
      </c>
      <c r="G21" s="22">
        <f>+HLOOKUP([73]INPUT_Date.Etc!$B$4,[73]Electric!$E$4:$P$59,34, FALSE)</f>
        <v>8691</v>
      </c>
      <c r="H21" s="22">
        <v>0</v>
      </c>
      <c r="I21" s="23"/>
      <c r="J21" s="22">
        <f>+HLOOKUP([73]INPUT_Date.Etc!$B$4,[73]Delaware!$T$4:$AI$52,40, FALSE)</f>
        <v>2622682</v>
      </c>
      <c r="K21" s="22">
        <f>+HLOOKUP([73]INPUT_Date.Etc!$B$4,[73]Maryland!$T$4:$AI$52,40, FALSE)</f>
        <v>1515762</v>
      </c>
      <c r="L21" s="22">
        <f>+HLOOKUP([73]INPUT_Date.Etc!$B$4,[73]Sandpiper!$T$4:$AI$57,40, FALSE)</f>
        <v>177124.9</v>
      </c>
      <c r="M21" s="22">
        <f>+HLOOKUP([73]INPUT_Date.Etc!$B$4,[73]CFG!$T$4:$AI$52,40, FALSE)</f>
        <v>24685562.675041389</v>
      </c>
      <c r="N21" s="22">
        <f>+HLOOKUP([73]INPUT_Date.Etc!$B$4,[73]FPUNG!$T$4:$AI$116,98, FALSE)</f>
        <v>4113409.925990846</v>
      </c>
      <c r="O21" s="22">
        <f>+HLOOKUP([73]INPUT_Date.Etc!$B$4,[73]Electric!$T$4:$AI$45,34, FALSE)</f>
        <v>14246</v>
      </c>
      <c r="P21" s="22">
        <v>0</v>
      </c>
    </row>
    <row r="22" spans="1:18" x14ac:dyDescent="0.3">
      <c r="A22" s="12" t="s">
        <v>179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 t="e">
        <f>+HLOOKUP([73]INPUT_Date.Etc!$B$4,[73]ESNG!$A$4:$P$71,48,FALSE)</f>
        <v>#DIV/0!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+HLOOKUP([73]INPUT_Date.Etc!$B$4,[73]ESNG!$T$4:$AI$58,48, FALSE)</f>
        <v>50766897.098545559</v>
      </c>
    </row>
    <row r="23" spans="1:18" x14ac:dyDescent="0.3">
      <c r="A23" s="12" t="s">
        <v>21</v>
      </c>
      <c r="B23" s="22">
        <f>+HLOOKUP([73]INPUT_Date.Etc!$B$4,[73]Delaware!$A$4:$P$57,41, FALSE)</f>
        <v>269040</v>
      </c>
      <c r="C23" s="22">
        <f>+HLOOKUP([73]INPUT_Date.Etc!$B$4,[73]Maryland!$A$4:$P$57,41, FALSE)</f>
        <v>0</v>
      </c>
      <c r="D23" s="22">
        <f>+HLOOKUP([73]INPUT_Date.Etc!$B$4,[73]Sandpiper!$A$4:$P$57,41, FALSE)</f>
        <v>0</v>
      </c>
      <c r="E23" s="22">
        <f>+HLOOKUP([73]INPUT_Date.Etc!$B$4,[73]CFG!$A$4:$P$57,41, FALSE)</f>
        <v>0</v>
      </c>
      <c r="F23" s="22">
        <f>+HLOOKUP([73]INPUT_Date.Etc!$B$4,[73]FPUNG!$A$4:$P$116,99, FALSE)</f>
        <v>2947226.6509884121</v>
      </c>
      <c r="G23" s="22">
        <f>+HLOOKUP([73]INPUT_Date.Etc!$B$4,[73]Electric!$E$4:$P$59,35, FALSE)</f>
        <v>0</v>
      </c>
      <c r="H23" s="22" t="e">
        <f>+HLOOKUP([73]INPUT_Date.Etc!$B$4,[73]ESNG!$A$4:$P$71,49,FALSE)</f>
        <v>#DIV/0!</v>
      </c>
      <c r="I23" s="23"/>
      <c r="J23" s="22">
        <f>+HLOOKUP([73]INPUT_Date.Etc!$B$4,[73]Delaware!$T$4:$AI$52,41, FALSE)</f>
        <v>232818</v>
      </c>
      <c r="K23" s="22">
        <f>+HLOOKUP([73]INPUT_Date.Etc!$B$4,[73]Maryland!$T$4:$AI$52,41, FALSE)</f>
        <v>0</v>
      </c>
      <c r="L23" s="22">
        <f>+HLOOKUP([73]INPUT_Date.Etc!$B$4,[73]Sandpiper!$T$4:$AI$57,41, FALSE)</f>
        <v>0</v>
      </c>
      <c r="M23" s="22">
        <f>+HLOOKUP([73]INPUT_Date.Etc!$B$4,[73]CFG!$T$4:$AI$52,41, FALSE)</f>
        <v>0</v>
      </c>
      <c r="N23" s="22">
        <f>+HLOOKUP([73]INPUT_Date.Etc!$B$4,[73]FPUNG!$T$4:$AI$116,99, FALSE)</f>
        <v>2531378.7694030581</v>
      </c>
      <c r="O23" s="22">
        <f>+HLOOKUP([73]INPUT_Date.Etc!$B$4,[73]Electric!$T$4:$AI$45,35, FALSE)</f>
        <v>0</v>
      </c>
      <c r="P23" s="22">
        <f>+HLOOKUP([73]INPUT_Date.Etc!$B$4,[73]ESNG!$T$4:$AI$58,49, FALSE)</f>
        <v>191404.7880214896</v>
      </c>
    </row>
    <row r="24" spans="1:18" x14ac:dyDescent="0.3">
      <c r="A24" s="10" t="s">
        <v>22</v>
      </c>
      <c r="B24" s="22">
        <v>0</v>
      </c>
      <c r="C24" s="22">
        <v>0</v>
      </c>
      <c r="D24" s="22">
        <v>0</v>
      </c>
      <c r="E24" s="22">
        <v>0</v>
      </c>
      <c r="F24" s="24">
        <v>0</v>
      </c>
      <c r="G24" s="22">
        <v>0</v>
      </c>
      <c r="H24" s="22" t="e">
        <f>+HLOOKUP([73]INPUT_Date.Etc!$B$4,[73]ESNG!$A$4:$P$71,50,FALSE)</f>
        <v>#DIV/0!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+HLOOKUP([73]INPUT_Date.Etc!$B$4,[73]ESNG!$T$4:$AI$58,50, FALSE)</f>
        <v>-10932808.613651877</v>
      </c>
    </row>
    <row r="25" spans="1:18" ht="15" thickBot="1" x14ac:dyDescent="0.35">
      <c r="A25" s="26" t="s">
        <v>180</v>
      </c>
      <c r="B25" s="82">
        <f t="shared" ref="B25:H25" si="2">SUM(B19:B24)</f>
        <v>7853978</v>
      </c>
      <c r="C25" s="82">
        <f t="shared" si="2"/>
        <v>3156399</v>
      </c>
      <c r="D25" s="82">
        <f t="shared" si="2"/>
        <v>797742</v>
      </c>
      <c r="E25" s="82">
        <f t="shared" si="2"/>
        <v>30155926.082383871</v>
      </c>
      <c r="F25" s="82">
        <f t="shared" si="2"/>
        <v>10191451.742039166</v>
      </c>
      <c r="G25" s="82">
        <f t="shared" si="2"/>
        <v>480022</v>
      </c>
      <c r="H25" s="27" t="e">
        <f t="shared" si="2"/>
        <v>#DIV/0!</v>
      </c>
      <c r="I25" s="23"/>
      <c r="J25" s="27">
        <f t="shared" ref="J25:P25" si="3">SUM(J19:J24)</f>
        <v>7209200</v>
      </c>
      <c r="K25" s="27">
        <f t="shared" si="3"/>
        <v>2809507</v>
      </c>
      <c r="L25" s="27">
        <f>SUM(L19:L24)</f>
        <v>645210.6</v>
      </c>
      <c r="M25" s="27">
        <f t="shared" si="3"/>
        <v>28894057.116564423</v>
      </c>
      <c r="N25" s="27">
        <f t="shared" si="3"/>
        <v>9263398.485052133</v>
      </c>
      <c r="O25" s="27">
        <f t="shared" si="3"/>
        <v>566475</v>
      </c>
      <c r="P25" s="27">
        <f t="shared" si="3"/>
        <v>40025493.27291517</v>
      </c>
    </row>
    <row r="26" spans="1:18" x14ac:dyDescent="0.3">
      <c r="A26" s="77"/>
      <c r="B26" s="78"/>
      <c r="C26" s="79"/>
      <c r="D26" s="79"/>
      <c r="E26" s="79"/>
      <c r="F26" s="78"/>
      <c r="G26" s="78"/>
      <c r="H26" s="78"/>
      <c r="I26" s="80"/>
      <c r="J26" s="78"/>
      <c r="K26" s="78"/>
      <c r="L26" s="79"/>
      <c r="M26" s="78"/>
      <c r="N26" s="78"/>
      <c r="O26" s="78"/>
      <c r="P26" s="78"/>
    </row>
    <row r="27" spans="1:18" x14ac:dyDescent="0.3">
      <c r="A27" s="81"/>
      <c r="B27" s="78"/>
      <c r="C27" s="79"/>
      <c r="D27" s="79"/>
      <c r="E27" s="79"/>
      <c r="F27" s="78"/>
      <c r="G27" s="78"/>
      <c r="H27" s="78"/>
      <c r="I27" s="80"/>
      <c r="J27" s="78"/>
      <c r="K27" s="78"/>
      <c r="L27" s="79"/>
      <c r="M27" s="78"/>
      <c r="N27" s="78"/>
      <c r="O27" s="78"/>
      <c r="P27" s="78"/>
    </row>
    <row r="28" spans="1:18" x14ac:dyDescent="0.3">
      <c r="A28" s="81"/>
      <c r="B28" s="78"/>
      <c r="C28" s="79"/>
      <c r="D28" s="79"/>
      <c r="E28" s="79"/>
      <c r="F28" s="78"/>
      <c r="G28" s="78"/>
      <c r="H28" s="78"/>
      <c r="I28" s="80"/>
      <c r="J28" s="78"/>
      <c r="K28" s="78"/>
      <c r="L28" s="79"/>
      <c r="M28" s="78"/>
      <c r="N28" s="78"/>
      <c r="O28" s="78"/>
      <c r="P28" s="78"/>
    </row>
    <row r="29" spans="1:18" x14ac:dyDescent="0.3">
      <c r="B29" s="78"/>
      <c r="C29" s="79"/>
      <c r="D29" s="79"/>
      <c r="E29" s="79"/>
      <c r="F29" s="78"/>
      <c r="G29" s="78"/>
      <c r="H29" s="78"/>
      <c r="I29" s="80"/>
      <c r="J29" s="78"/>
      <c r="K29" s="78"/>
      <c r="L29" s="79"/>
      <c r="M29" s="78"/>
      <c r="N29" s="78"/>
      <c r="O29" s="78"/>
      <c r="P29" s="78"/>
    </row>
    <row r="30" spans="1:18" x14ac:dyDescent="0.3">
      <c r="B30" s="78"/>
      <c r="C30" s="78"/>
      <c r="D30" s="78"/>
      <c r="E30" s="79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</row>
  </sheetData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2"/>
  <sheetViews>
    <sheetView zoomScale="98" zoomScaleNormal="98" workbookViewId="0">
      <selection activeCell="D14" sqref="D14:E14"/>
    </sheetView>
  </sheetViews>
  <sheetFormatPr defaultColWidth="9.109375" defaultRowHeight="13.2" x14ac:dyDescent="0.25"/>
  <cols>
    <col min="1" max="1" width="27.6640625" style="12" bestFit="1" customWidth="1"/>
    <col min="2" max="3" width="13.44140625" style="12" customWidth="1"/>
    <col min="4" max="4" width="13.44140625" style="31" customWidth="1"/>
    <col min="5" max="7" width="13.44140625" style="12" customWidth="1"/>
    <col min="8" max="8" width="3.6640625" style="10" customWidth="1"/>
    <col min="9" max="14" width="13.44140625" style="12" customWidth="1"/>
    <col min="15" max="16384" width="9.109375" style="12"/>
  </cols>
  <sheetData>
    <row r="1" spans="1:16" s="5" customFormat="1" ht="16.2" x14ac:dyDescent="0.4">
      <c r="A1" s="4"/>
      <c r="E1" s="6"/>
      <c r="F1" s="7" t="s">
        <v>6</v>
      </c>
      <c r="H1" s="8"/>
    </row>
    <row r="2" spans="1:16" s="5" customFormat="1" ht="16.2" x14ac:dyDescent="0.4">
      <c r="A2" s="4"/>
      <c r="B2" s="9"/>
      <c r="E2" s="6"/>
      <c r="F2" s="7" t="s">
        <v>7</v>
      </c>
      <c r="H2" s="8"/>
    </row>
    <row r="3" spans="1:16" ht="16.2" x14ac:dyDescent="0.4">
      <c r="A3" s="10"/>
      <c r="B3" s="10"/>
      <c r="C3" s="11"/>
      <c r="D3" s="12"/>
      <c r="E3" s="7"/>
      <c r="F3" s="7" t="s">
        <v>8</v>
      </c>
      <c r="G3" s="10"/>
      <c r="I3" s="13"/>
      <c r="J3" s="10"/>
      <c r="K3" s="11"/>
      <c r="L3" s="10"/>
      <c r="M3" s="10"/>
      <c r="N3" s="10"/>
    </row>
    <row r="4" spans="1:16" ht="16.2" x14ac:dyDescent="0.4">
      <c r="A4" s="10"/>
      <c r="B4" s="10"/>
      <c r="C4" s="11"/>
      <c r="D4" s="7"/>
      <c r="E4" s="7"/>
      <c r="F4" s="10"/>
      <c r="G4" s="10"/>
      <c r="I4" s="13"/>
      <c r="J4" s="10"/>
      <c r="K4" s="11"/>
      <c r="L4" s="10"/>
      <c r="M4" s="10"/>
      <c r="N4" s="10"/>
    </row>
    <row r="5" spans="1:16" s="10" customFormat="1" x14ac:dyDescent="0.25">
      <c r="D5" s="14"/>
    </row>
    <row r="6" spans="1:16" s="10" customFormat="1" x14ac:dyDescent="0.25">
      <c r="C6" s="15" t="s">
        <v>9</v>
      </c>
      <c r="D6" s="16"/>
      <c r="E6" s="17"/>
      <c r="J6" s="15" t="s">
        <v>10</v>
      </c>
      <c r="K6" s="16"/>
      <c r="L6" s="17"/>
    </row>
    <row r="7" spans="1:16" ht="40.200000000000003" x14ac:dyDescent="0.3">
      <c r="A7" s="18"/>
      <c r="B7" s="19" t="s">
        <v>11</v>
      </c>
      <c r="C7" s="19" t="s">
        <v>12</v>
      </c>
      <c r="D7" s="20" t="s">
        <v>13</v>
      </c>
      <c r="E7" s="19" t="s">
        <v>14</v>
      </c>
      <c r="F7" s="19" t="s">
        <v>15</v>
      </c>
      <c r="G7" s="19" t="s">
        <v>16</v>
      </c>
      <c r="H7" s="21"/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</row>
    <row r="8" spans="1:16" x14ac:dyDescent="0.25">
      <c r="A8" s="12" t="s">
        <v>17</v>
      </c>
      <c r="B8" s="22">
        <f>+[54]Delaware!O5</f>
        <v>39873</v>
      </c>
      <c r="C8" s="23">
        <f>+[54]Maryland!O5</f>
        <v>10907</v>
      </c>
      <c r="D8" s="24">
        <f>[54]CFG!O5</f>
        <v>13888</v>
      </c>
      <c r="E8" s="23">
        <f>+'[54]FPU-NG'!O5</f>
        <v>48879</v>
      </c>
      <c r="F8" s="23">
        <f>+[54]Electric!O5</f>
        <v>23646</v>
      </c>
      <c r="G8" s="23">
        <v>0</v>
      </c>
      <c r="H8" s="23"/>
      <c r="I8" s="22">
        <f>+[54]Delaware!AH5</f>
        <v>38741</v>
      </c>
      <c r="J8" s="25">
        <f>+[54]Maryland!AH5</f>
        <v>10873</v>
      </c>
      <c r="K8" s="23">
        <f>+[54]CFG!AH5</f>
        <v>13738</v>
      </c>
      <c r="L8" s="23">
        <f>'[54]FPU-NG'!AH5</f>
        <v>48405</v>
      </c>
      <c r="M8" s="23">
        <f>[54]Electric!AH5</f>
        <v>23695</v>
      </c>
      <c r="N8" s="23">
        <v>0</v>
      </c>
    </row>
    <row r="9" spans="1:16" x14ac:dyDescent="0.25">
      <c r="A9" s="12" t="s">
        <v>18</v>
      </c>
      <c r="B9" s="22">
        <f>+[54]Delaware!O6</f>
        <v>3554</v>
      </c>
      <c r="C9" s="23">
        <f>+[54]Maryland!O6</f>
        <v>1780</v>
      </c>
      <c r="D9" s="24">
        <f>[54]CFG!O6</f>
        <v>1273</v>
      </c>
      <c r="E9" s="23">
        <f>+'[54]FPU-NG'!O6</f>
        <v>4532</v>
      </c>
      <c r="F9" s="23">
        <f>+[54]Electric!O6</f>
        <v>7401</v>
      </c>
      <c r="G9" s="23">
        <v>0</v>
      </c>
      <c r="H9" s="23"/>
      <c r="I9" s="22">
        <f>+[54]Delaware!AH6</f>
        <v>3481</v>
      </c>
      <c r="J9" s="25">
        <f>+[54]Maryland!AH6</f>
        <v>1755</v>
      </c>
      <c r="K9" s="23">
        <f>+[54]CFG!AH6</f>
        <v>1227</v>
      </c>
      <c r="L9" s="23">
        <f>'[54]FPU-NG'!AH6</f>
        <v>4576</v>
      </c>
      <c r="M9" s="23">
        <f>[54]Electric!AH6</f>
        <v>7402</v>
      </c>
      <c r="N9" s="23">
        <v>0</v>
      </c>
    </row>
    <row r="10" spans="1:16" x14ac:dyDescent="0.25">
      <c r="A10" s="12" t="s">
        <v>19</v>
      </c>
      <c r="B10" s="22">
        <f>+[54]Delaware!O7</f>
        <v>64</v>
      </c>
      <c r="C10" s="23">
        <f>+[54]Maryland!O7</f>
        <v>36</v>
      </c>
      <c r="D10" s="24">
        <f>[54]CFG!O7</f>
        <v>62</v>
      </c>
      <c r="E10" s="23">
        <f>+'[54]FPU-NG'!O7</f>
        <v>895</v>
      </c>
      <c r="F10" s="23">
        <f>+[54]Electric!O7</f>
        <v>2</v>
      </c>
      <c r="G10" s="23">
        <v>0</v>
      </c>
      <c r="H10" s="23"/>
      <c r="I10" s="22">
        <f>+[54]Delaware!AH7</f>
        <v>64</v>
      </c>
      <c r="J10" s="25">
        <f>+[54]Maryland!AH7</f>
        <v>35</v>
      </c>
      <c r="K10" s="23">
        <f>+[54]CFG!AH7</f>
        <v>59</v>
      </c>
      <c r="L10" s="23">
        <f>'[54]FPU-NG'!AH7</f>
        <v>705</v>
      </c>
      <c r="M10" s="23">
        <f>[54]Electric!AH7</f>
        <v>2</v>
      </c>
      <c r="N10" s="23">
        <v>0</v>
      </c>
    </row>
    <row r="11" spans="1:16" x14ac:dyDescent="0.25">
      <c r="A11" s="12" t="s">
        <v>20</v>
      </c>
      <c r="B11" s="22">
        <v>0</v>
      </c>
      <c r="C11" s="23">
        <v>0</v>
      </c>
      <c r="D11" s="24">
        <f>+[54]CFG!K8</f>
        <v>0</v>
      </c>
      <c r="E11" s="23">
        <v>0</v>
      </c>
      <c r="F11" s="23">
        <v>0</v>
      </c>
      <c r="G11" s="23">
        <f>+[54]ESNG!O8</f>
        <v>17</v>
      </c>
      <c r="H11" s="23"/>
      <c r="I11" s="22">
        <v>0</v>
      </c>
      <c r="J11" s="25">
        <f>+[54]Maryland!AD8</f>
        <v>0</v>
      </c>
      <c r="K11" s="23">
        <f>+[54]CFG!AH8</f>
        <v>0</v>
      </c>
      <c r="L11" s="23">
        <f>'[54]FPU-NG'!AH42</f>
        <v>0</v>
      </c>
      <c r="M11" s="23">
        <f>+[54]Electric!Y8</f>
        <v>0</v>
      </c>
      <c r="N11" s="23">
        <f>+[54]ESNG!AH8</f>
        <v>18</v>
      </c>
    </row>
    <row r="12" spans="1:16" x14ac:dyDescent="0.25">
      <c r="A12" s="10" t="s">
        <v>21</v>
      </c>
      <c r="B12" s="22">
        <f>+[54]Delaware!O8</f>
        <v>4</v>
      </c>
      <c r="C12" s="23">
        <v>0</v>
      </c>
      <c r="D12" s="24">
        <v>0</v>
      </c>
      <c r="E12" s="23">
        <f>+'[54]FPU-NG'!N8</f>
        <v>0</v>
      </c>
      <c r="F12" s="23">
        <f>+[54]Electric!K8</f>
        <v>0</v>
      </c>
      <c r="G12" s="23">
        <v>0</v>
      </c>
      <c r="H12" s="23"/>
      <c r="I12" s="22">
        <f>+[54]Delaware!AH8</f>
        <v>3</v>
      </c>
      <c r="J12" s="25">
        <v>0</v>
      </c>
      <c r="K12" s="23">
        <v>0</v>
      </c>
      <c r="L12" s="23">
        <v>0</v>
      </c>
      <c r="M12" s="23">
        <v>0</v>
      </c>
      <c r="N12" s="23">
        <v>0</v>
      </c>
      <c r="O12" s="10"/>
      <c r="P12" s="10"/>
    </row>
    <row r="13" spans="1:16" x14ac:dyDescent="0.25">
      <c r="A13" s="10" t="s">
        <v>22</v>
      </c>
      <c r="B13" s="22">
        <f>+[54]Delaware!M10</f>
        <v>0</v>
      </c>
      <c r="C13" s="23">
        <f>+[54]Maryland!M10</f>
        <v>0</v>
      </c>
      <c r="D13" s="24">
        <f>+[54]CFG!N10</f>
        <v>0</v>
      </c>
      <c r="E13" s="23">
        <v>0</v>
      </c>
      <c r="F13" s="23">
        <f>+[54]Electric!K8</f>
        <v>0</v>
      </c>
      <c r="G13" s="23">
        <f>+[54]ESNG!O9</f>
        <v>-2</v>
      </c>
      <c r="H13" s="23"/>
      <c r="I13" s="22">
        <v>0</v>
      </c>
      <c r="J13" s="25">
        <v>0</v>
      </c>
      <c r="K13" s="23">
        <v>0</v>
      </c>
      <c r="L13" s="23">
        <v>0</v>
      </c>
      <c r="M13" s="23">
        <v>0</v>
      </c>
      <c r="N13" s="23">
        <f>+[54]ESNG!AH9</f>
        <v>-2</v>
      </c>
    </row>
    <row r="14" spans="1:16" ht="13.8" thickBot="1" x14ac:dyDescent="0.3">
      <c r="A14" s="26" t="s">
        <v>23</v>
      </c>
      <c r="B14" s="27">
        <f t="shared" ref="B14:G14" si="0">SUM(B8:B13)</f>
        <v>43495</v>
      </c>
      <c r="C14" s="27">
        <f t="shared" si="0"/>
        <v>12723</v>
      </c>
      <c r="D14" s="27">
        <f t="shared" si="0"/>
        <v>15223</v>
      </c>
      <c r="E14" s="27">
        <f t="shared" si="0"/>
        <v>54306</v>
      </c>
      <c r="F14" s="27">
        <f t="shared" si="0"/>
        <v>31049</v>
      </c>
      <c r="G14" s="27">
        <f t="shared" si="0"/>
        <v>15</v>
      </c>
      <c r="H14" s="23"/>
      <c r="I14" s="27">
        <f t="shared" ref="I14:N14" si="1">SUM(I8:I13)</f>
        <v>42289</v>
      </c>
      <c r="J14" s="27">
        <f t="shared" si="1"/>
        <v>12663</v>
      </c>
      <c r="K14" s="27">
        <f t="shared" si="1"/>
        <v>15024</v>
      </c>
      <c r="L14" s="27">
        <f t="shared" si="1"/>
        <v>53686</v>
      </c>
      <c r="M14" s="27">
        <f t="shared" si="1"/>
        <v>31099</v>
      </c>
      <c r="N14" s="27">
        <f t="shared" si="1"/>
        <v>16</v>
      </c>
    </row>
    <row r="15" spans="1:16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6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5">
      <c r="A17" s="14"/>
      <c r="B17" s="23"/>
      <c r="C17" s="15" t="s">
        <v>24</v>
      </c>
      <c r="D17" s="28"/>
      <c r="E17" s="28"/>
      <c r="F17" s="28"/>
      <c r="G17" s="23"/>
      <c r="H17" s="23"/>
      <c r="I17" s="23"/>
      <c r="J17" s="15" t="s">
        <v>25</v>
      </c>
      <c r="K17" s="28"/>
      <c r="L17" s="28"/>
      <c r="M17" s="28"/>
      <c r="N17" s="23"/>
    </row>
    <row r="18" spans="1:14" ht="40.200000000000003" x14ac:dyDescent="0.3">
      <c r="A18" s="18"/>
      <c r="B18" s="19" t="s">
        <v>11</v>
      </c>
      <c r="C18" s="19" t="s">
        <v>12</v>
      </c>
      <c r="D18" s="20" t="s">
        <v>13</v>
      </c>
      <c r="E18" s="19" t="s">
        <v>14</v>
      </c>
      <c r="F18" s="19" t="s">
        <v>15</v>
      </c>
      <c r="G18" s="19" t="s">
        <v>16</v>
      </c>
      <c r="H18" s="21"/>
      <c r="I18" s="19" t="s">
        <v>11</v>
      </c>
      <c r="J18" s="19" t="s">
        <v>12</v>
      </c>
      <c r="K18" s="19" t="s">
        <v>13</v>
      </c>
      <c r="L18" s="19" t="s">
        <v>14</v>
      </c>
      <c r="M18" s="19" t="s">
        <v>15</v>
      </c>
      <c r="N18" s="19" t="s">
        <v>16</v>
      </c>
    </row>
    <row r="19" spans="1:14" x14ac:dyDescent="0.25">
      <c r="A19" s="12" t="s">
        <v>17</v>
      </c>
      <c r="B19" s="23">
        <f>+[54]Delaware!B5</f>
        <v>38950</v>
      </c>
      <c r="C19" s="23">
        <f>+[54]Maryland!B5</f>
        <v>10689</v>
      </c>
      <c r="D19" s="24">
        <f>+[54]CFG!B5</f>
        <v>13783</v>
      </c>
      <c r="E19" s="23">
        <f>+'[54]FPU-NG'!B5</f>
        <v>48603</v>
      </c>
      <c r="F19" s="23">
        <f>+[54]Electric!B5</f>
        <v>23670</v>
      </c>
      <c r="G19" s="23">
        <v>0</v>
      </c>
      <c r="H19" s="23"/>
      <c r="I19" s="23">
        <f>+[54]Delaware!U5</f>
        <v>38012</v>
      </c>
      <c r="J19" s="23">
        <f>+[54]Maryland!U5</f>
        <v>10668</v>
      </c>
      <c r="K19" s="23">
        <f>+[54]CFG!U5</f>
        <v>13584</v>
      </c>
      <c r="L19" s="23">
        <f>'[54]FPU-NG'!U39</f>
        <v>47941</v>
      </c>
      <c r="M19" s="23">
        <f>+[54]Electric!U5</f>
        <v>23598</v>
      </c>
      <c r="N19" s="23">
        <v>0</v>
      </c>
    </row>
    <row r="20" spans="1:14" x14ac:dyDescent="0.25">
      <c r="A20" s="12" t="s">
        <v>18</v>
      </c>
      <c r="B20" s="23">
        <f>+[54]Delaware!B6</f>
        <v>3472</v>
      </c>
      <c r="C20" s="23">
        <f>+[54]Maryland!B6</f>
        <v>1740</v>
      </c>
      <c r="D20" s="24">
        <f>+[54]CFG!B6</f>
        <v>1253</v>
      </c>
      <c r="E20" s="23">
        <f>+'[54]FPU-NG'!B6</f>
        <v>4528</v>
      </c>
      <c r="F20" s="23">
        <f>+[54]Electric!B6</f>
        <v>7394</v>
      </c>
      <c r="G20" s="23">
        <v>0</v>
      </c>
      <c r="H20" s="23"/>
      <c r="I20" s="23">
        <f>+[54]Delaware!U6</f>
        <v>3425</v>
      </c>
      <c r="J20" s="23">
        <f>+[54]Maryland!U6</f>
        <v>1746</v>
      </c>
      <c r="K20" s="23">
        <f>+[54]CFG!U6</f>
        <v>1185</v>
      </c>
      <c r="L20" s="23">
        <f>'[54]FPU-NG'!U40</f>
        <v>4531</v>
      </c>
      <c r="M20" s="23">
        <f>+[54]Electric!U6</f>
        <v>7386</v>
      </c>
      <c r="N20" s="23">
        <v>0</v>
      </c>
    </row>
    <row r="21" spans="1:14" x14ac:dyDescent="0.25">
      <c r="A21" s="12" t="s">
        <v>26</v>
      </c>
      <c r="B21" s="23">
        <f>+[54]Delaware!B7</f>
        <v>65</v>
      </c>
      <c r="C21" s="23">
        <f>+[54]Maryland!B7</f>
        <v>38</v>
      </c>
      <c r="D21" s="24">
        <f>+[54]CFG!B7</f>
        <v>56</v>
      </c>
      <c r="E21" s="23">
        <f>+'[54]FPU-NG'!B7</f>
        <v>833</v>
      </c>
      <c r="F21" s="23">
        <f>+[54]Electric!B7</f>
        <v>2</v>
      </c>
      <c r="G21" s="23">
        <v>0</v>
      </c>
      <c r="H21" s="23"/>
      <c r="I21" s="23">
        <f>+[54]Delaware!U7</f>
        <v>61</v>
      </c>
      <c r="J21" s="23">
        <f>+[54]Maryland!U7</f>
        <v>32</v>
      </c>
      <c r="K21" s="23">
        <f>+[54]CFG!U7</f>
        <v>59</v>
      </c>
      <c r="L21" s="23">
        <f>'[54]FPU-NG'!U41</f>
        <v>686</v>
      </c>
      <c r="M21" s="23">
        <f>+[54]Electric!U7</f>
        <v>2</v>
      </c>
      <c r="N21" s="23">
        <v>0</v>
      </c>
    </row>
    <row r="22" spans="1:14" x14ac:dyDescent="0.25">
      <c r="A22" s="12" t="s">
        <v>20</v>
      </c>
      <c r="B22" s="23">
        <v>0</v>
      </c>
      <c r="C22" s="23">
        <f>+[54]Maryland!B8</f>
        <v>0</v>
      </c>
      <c r="D22" s="24">
        <f>+[54]CFG!B8</f>
        <v>0</v>
      </c>
      <c r="E22" s="23">
        <f>+'[54]FPU-NG'!B8</f>
        <v>0</v>
      </c>
      <c r="F22" s="23">
        <f>+[54]Electric!B8</f>
        <v>0</v>
      </c>
      <c r="G22" s="23">
        <f>+[54]ESNG!B8</f>
        <v>17</v>
      </c>
      <c r="H22" s="23"/>
      <c r="I22" s="23">
        <v>0</v>
      </c>
      <c r="J22" s="23">
        <v>0</v>
      </c>
      <c r="K22" s="23">
        <v>0</v>
      </c>
      <c r="L22" s="23">
        <f>'[54]FPU-NG'!U42</f>
        <v>0</v>
      </c>
      <c r="M22" s="23">
        <f>+[54]Electric!U8</f>
        <v>0</v>
      </c>
      <c r="N22" s="23">
        <f>+[54]ESNG!U8</f>
        <v>17</v>
      </c>
    </row>
    <row r="23" spans="1:14" s="10" customFormat="1" x14ac:dyDescent="0.25">
      <c r="A23" s="10" t="s">
        <v>21</v>
      </c>
      <c r="B23" s="23">
        <f>+[54]Delaware!B8</f>
        <v>5</v>
      </c>
      <c r="C23" s="23">
        <v>0</v>
      </c>
      <c r="D23" s="24">
        <v>0</v>
      </c>
      <c r="E23" s="23">
        <v>0</v>
      </c>
      <c r="F23" s="23">
        <v>0</v>
      </c>
      <c r="G23" s="23">
        <v>0</v>
      </c>
      <c r="H23" s="23"/>
      <c r="I23" s="23">
        <f>+[54]Delaware!U8</f>
        <v>4</v>
      </c>
      <c r="J23" s="23">
        <f>+[54]Maryland!U8</f>
        <v>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5">
      <c r="A24" s="10" t="s">
        <v>22</v>
      </c>
      <c r="B24" s="23">
        <v>0</v>
      </c>
      <c r="C24" s="23">
        <v>0</v>
      </c>
      <c r="D24" s="24">
        <f>+[54]CFG!B10</f>
        <v>0</v>
      </c>
      <c r="E24" s="23">
        <v>0</v>
      </c>
      <c r="F24" s="23">
        <v>0</v>
      </c>
      <c r="G24" s="23">
        <f>+[54]ESNG!B9</f>
        <v>-2</v>
      </c>
      <c r="H24" s="23"/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f>+[54]ESNG!U9</f>
        <v>-2</v>
      </c>
    </row>
    <row r="25" spans="1:14" ht="13.8" thickBot="1" x14ac:dyDescent="0.3">
      <c r="A25" s="26" t="s">
        <v>27</v>
      </c>
      <c r="B25" s="27">
        <f t="shared" ref="B25:G25" si="2">SUM(B19:B24)</f>
        <v>42492</v>
      </c>
      <c r="C25" s="27">
        <f t="shared" si="2"/>
        <v>12467</v>
      </c>
      <c r="D25" s="27">
        <f t="shared" si="2"/>
        <v>15092</v>
      </c>
      <c r="E25" s="27">
        <f t="shared" si="2"/>
        <v>53964</v>
      </c>
      <c r="F25" s="27">
        <f t="shared" si="2"/>
        <v>31066</v>
      </c>
      <c r="G25" s="27">
        <f t="shared" si="2"/>
        <v>15</v>
      </c>
      <c r="H25" s="23"/>
      <c r="I25" s="27">
        <f t="shared" ref="I25:N25" si="3">SUM(I19:I24)</f>
        <v>41502</v>
      </c>
      <c r="J25" s="27">
        <f t="shared" si="3"/>
        <v>12446</v>
      </c>
      <c r="K25" s="27">
        <f t="shared" si="3"/>
        <v>14828</v>
      </c>
      <c r="L25" s="27">
        <f t="shared" si="3"/>
        <v>53158</v>
      </c>
      <c r="M25" s="27">
        <f t="shared" si="3"/>
        <v>30986</v>
      </c>
      <c r="N25" s="27">
        <f t="shared" si="3"/>
        <v>15</v>
      </c>
    </row>
    <row r="26" spans="1:14" x14ac:dyDescent="0.25">
      <c r="B26" s="22"/>
      <c r="C26" s="22"/>
      <c r="D26" s="29"/>
      <c r="E26" s="22"/>
      <c r="F26" s="22"/>
      <c r="G26" s="22"/>
      <c r="H26" s="23"/>
      <c r="I26" s="22"/>
      <c r="J26" s="22"/>
      <c r="K26" s="22"/>
      <c r="L26" s="22"/>
      <c r="M26" s="22"/>
      <c r="N26" s="22"/>
    </row>
    <row r="30" spans="1:14" ht="13.8" x14ac:dyDescent="0.3">
      <c r="A30" s="30"/>
    </row>
    <row r="31" spans="1:14" ht="13.8" x14ac:dyDescent="0.3">
      <c r="A31" s="30"/>
    </row>
    <row r="32" spans="1:14" x14ac:dyDescent="0.25">
      <c r="A32" s="10"/>
    </row>
  </sheetData>
  <pageMargins left="0.45" right="0.45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32"/>
  <sheetViews>
    <sheetView zoomScaleNormal="100" workbookViewId="0">
      <selection activeCell="L9" sqref="L9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4.5546875" style="31" customWidth="1"/>
    <col min="6" max="8" width="13.44140625" style="12" customWidth="1"/>
    <col min="9" max="9" width="3.6640625" style="10" customWidth="1"/>
    <col min="10" max="11" width="13.44140625" style="12" customWidth="1"/>
    <col min="12" max="12" width="14.88671875" style="12" customWidth="1"/>
    <col min="13" max="15" width="13.44140625" style="12" customWidth="1"/>
    <col min="16" max="16384" width="9.109375" style="12"/>
  </cols>
  <sheetData>
    <row r="1" spans="1:17" s="5" customFormat="1" ht="16.2" x14ac:dyDescent="0.4">
      <c r="A1" s="4"/>
      <c r="F1" s="6"/>
      <c r="G1" s="7" t="s">
        <v>6</v>
      </c>
      <c r="I1" s="8"/>
    </row>
    <row r="2" spans="1:17" s="5" customFormat="1" ht="16.2" x14ac:dyDescent="0.4">
      <c r="A2" s="4"/>
      <c r="B2" s="9"/>
      <c r="F2" s="6"/>
      <c r="G2" s="7" t="s">
        <v>7</v>
      </c>
      <c r="I2" s="8"/>
    </row>
    <row r="3" spans="1:17" ht="16.2" x14ac:dyDescent="0.4">
      <c r="A3" s="10"/>
      <c r="B3" s="10"/>
      <c r="C3" s="11"/>
      <c r="D3" s="11"/>
      <c r="E3" s="12"/>
      <c r="F3" s="7"/>
      <c r="G3" s="7" t="s">
        <v>30</v>
      </c>
      <c r="H3" s="10"/>
      <c r="J3" s="13"/>
      <c r="K3" s="10"/>
      <c r="L3" s="11"/>
      <c r="M3" s="10"/>
      <c r="N3" s="10"/>
      <c r="O3" s="10"/>
    </row>
    <row r="4" spans="1:17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1"/>
      <c r="M4" s="10"/>
      <c r="N4" s="10"/>
      <c r="O4" s="10"/>
    </row>
    <row r="5" spans="1:17" s="10" customFormat="1" x14ac:dyDescent="0.25">
      <c r="E5" s="14"/>
    </row>
    <row r="6" spans="1:17" s="10" customFormat="1" x14ac:dyDescent="0.25">
      <c r="C6" s="15" t="s">
        <v>31</v>
      </c>
      <c r="D6" s="15"/>
      <c r="E6" s="16"/>
      <c r="F6" s="17"/>
      <c r="K6" s="15" t="s">
        <v>9</v>
      </c>
      <c r="L6" s="16"/>
      <c r="M6" s="17"/>
    </row>
    <row r="7" spans="1:17" ht="50.25" customHeight="1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7" x14ac:dyDescent="0.25">
      <c r="A8" s="12" t="s">
        <v>17</v>
      </c>
      <c r="B8" s="22">
        <f>+[55]Delaware!O5</f>
        <v>41078</v>
      </c>
      <c r="C8" s="23">
        <f>+[55]Maryland!O5</f>
        <v>11078</v>
      </c>
      <c r="D8" s="23">
        <f>'[55]Worcester County'!O5</f>
        <v>9893</v>
      </c>
      <c r="E8" s="24">
        <f>[55]CFG!O5</f>
        <v>14127</v>
      </c>
      <c r="F8" s="23">
        <f>+'[55]FPU-NG'!O5</f>
        <v>49580</v>
      </c>
      <c r="G8" s="23">
        <f>+[55]Electric!O5</f>
        <v>23695</v>
      </c>
      <c r="H8" s="23">
        <v>0</v>
      </c>
      <c r="I8" s="23"/>
      <c r="J8" s="22">
        <f>+[55]Delaware!AH5</f>
        <v>0</v>
      </c>
      <c r="K8" s="25">
        <f>+[55]Maryland!AH5</f>
        <v>10907</v>
      </c>
      <c r="L8" s="23">
        <f>+[55]CFG!AH5</f>
        <v>13888</v>
      </c>
      <c r="M8" s="23">
        <f>'[55]FPU-NG'!AH5</f>
        <v>48879</v>
      </c>
      <c r="N8" s="23">
        <f>[55]Electric!AH5</f>
        <v>23646</v>
      </c>
      <c r="O8" s="23">
        <v>0</v>
      </c>
    </row>
    <row r="9" spans="1:17" x14ac:dyDescent="0.25">
      <c r="A9" s="12" t="s">
        <v>18</v>
      </c>
      <c r="B9" s="22">
        <f>+[55]Delaware!O6</f>
        <v>3685</v>
      </c>
      <c r="C9" s="23">
        <f>+[55]Maryland!O6</f>
        <v>1805</v>
      </c>
      <c r="D9" s="23">
        <f>'[55]Worcester County'!O6</f>
        <v>1072</v>
      </c>
      <c r="E9" s="24">
        <f>[55]CFG!O6</f>
        <v>1334</v>
      </c>
      <c r="F9" s="23">
        <f>+'[55]FPU-NG'!O6</f>
        <v>4592</v>
      </c>
      <c r="G9" s="23">
        <f>+[55]Electric!O6</f>
        <v>7405</v>
      </c>
      <c r="H9" s="23">
        <v>0</v>
      </c>
      <c r="I9" s="23"/>
      <c r="J9" s="22">
        <f>+[55]Delaware!AH6</f>
        <v>0</v>
      </c>
      <c r="K9" s="25">
        <f>+[55]Maryland!AH6</f>
        <v>1780</v>
      </c>
      <c r="L9" s="23">
        <f>+[55]CFG!AH6</f>
        <v>1273</v>
      </c>
      <c r="M9" s="23">
        <f>'[55]FPU-NG'!AH6</f>
        <v>4532</v>
      </c>
      <c r="N9" s="23">
        <f>[55]Electric!AH6</f>
        <v>7401</v>
      </c>
      <c r="O9" s="23">
        <v>0</v>
      </c>
    </row>
    <row r="10" spans="1:17" x14ac:dyDescent="0.25">
      <c r="A10" s="12" t="s">
        <v>19</v>
      </c>
      <c r="B10" s="22">
        <f>+[55]Delaware!O7</f>
        <v>69</v>
      </c>
      <c r="C10" s="23">
        <f>+[55]Maryland!O7</f>
        <v>35</v>
      </c>
      <c r="D10" s="23">
        <f>'[55]Worcester County'!O7</f>
        <v>3</v>
      </c>
      <c r="E10" s="24">
        <f>[55]CFG!O7</f>
        <v>58</v>
      </c>
      <c r="F10" s="23">
        <f>+'[55]FPU-NG'!O7</f>
        <v>1011</v>
      </c>
      <c r="G10" s="23">
        <f>+[55]Electric!O7</f>
        <v>2</v>
      </c>
      <c r="H10" s="23">
        <v>0</v>
      </c>
      <c r="I10" s="23"/>
      <c r="J10" s="22">
        <f>+[55]Delaware!AH7</f>
        <v>0</v>
      </c>
      <c r="K10" s="25">
        <f>+[55]Maryland!AH7</f>
        <v>36</v>
      </c>
      <c r="L10" s="23">
        <f>+[55]CFG!AH7</f>
        <v>62</v>
      </c>
      <c r="M10" s="23">
        <f>'[55]FPU-NG'!AH7</f>
        <v>895</v>
      </c>
      <c r="N10" s="23">
        <f>[55]Electric!AH7</f>
        <v>2</v>
      </c>
      <c r="O10" s="23">
        <v>0</v>
      </c>
    </row>
    <row r="11" spans="1:17" x14ac:dyDescent="0.25">
      <c r="A11" s="12" t="s">
        <v>20</v>
      </c>
      <c r="B11" s="22">
        <v>0</v>
      </c>
      <c r="C11" s="23">
        <v>0</v>
      </c>
      <c r="D11" s="23">
        <v>0</v>
      </c>
      <c r="E11" s="24">
        <v>0</v>
      </c>
      <c r="F11" s="23">
        <v>0</v>
      </c>
      <c r="G11" s="23">
        <v>0</v>
      </c>
      <c r="H11" s="23">
        <f>+[55]ESNG!O8</f>
        <v>20</v>
      </c>
      <c r="I11" s="23"/>
      <c r="J11" s="22">
        <v>0</v>
      </c>
      <c r="K11" s="25">
        <v>0</v>
      </c>
      <c r="L11" s="23">
        <v>0</v>
      </c>
      <c r="M11" s="23">
        <v>0</v>
      </c>
      <c r="N11" s="23">
        <v>0</v>
      </c>
      <c r="O11" s="23">
        <f>+[55]ESNG!AH8</f>
        <v>17</v>
      </c>
    </row>
    <row r="12" spans="1:17" x14ac:dyDescent="0.25">
      <c r="A12" s="10" t="s">
        <v>21</v>
      </c>
      <c r="B12" s="22">
        <f>+[55]Delaware!O8</f>
        <v>7</v>
      </c>
      <c r="C12" s="23">
        <f>+[55]Maryland!O8</f>
        <v>0</v>
      </c>
      <c r="D12" s="23">
        <f>'[55]Worcester County'!O8</f>
        <v>0</v>
      </c>
      <c r="E12" s="24">
        <f>[55]CFG!O8</f>
        <v>0</v>
      </c>
      <c r="F12" s="23">
        <f>+'[55]FPU-NG'!O8</f>
        <v>0</v>
      </c>
      <c r="G12" s="23">
        <f>+[55]Electric!O8</f>
        <v>0</v>
      </c>
      <c r="H12" s="23">
        <v>0</v>
      </c>
      <c r="I12" s="23"/>
      <c r="J12" s="22">
        <f>+[55]Delaware!AH8</f>
        <v>0</v>
      </c>
      <c r="K12" s="25">
        <f>+[55]Maryland!AH8</f>
        <v>0</v>
      </c>
      <c r="L12" s="23">
        <f>+[55]CFG!AH8</f>
        <v>0</v>
      </c>
      <c r="M12" s="23">
        <f>'[55]FPU-NG'!AH8</f>
        <v>0</v>
      </c>
      <c r="N12" s="23">
        <f>[55]Electric!AH8</f>
        <v>0</v>
      </c>
      <c r="O12" s="23">
        <v>0</v>
      </c>
      <c r="P12" s="10"/>
      <c r="Q12" s="10"/>
    </row>
    <row r="13" spans="1:17" x14ac:dyDescent="0.25">
      <c r="A13" s="10" t="s">
        <v>22</v>
      </c>
      <c r="B13" s="22">
        <v>0</v>
      </c>
      <c r="C13" s="23">
        <v>0</v>
      </c>
      <c r="D13" s="23">
        <v>0</v>
      </c>
      <c r="E13" s="24">
        <v>0</v>
      </c>
      <c r="F13" s="23">
        <v>0</v>
      </c>
      <c r="G13" s="23">
        <v>0</v>
      </c>
      <c r="H13" s="23">
        <f>+[55]ESNG!O9</f>
        <v>-2</v>
      </c>
      <c r="I13" s="23"/>
      <c r="J13" s="22">
        <v>0</v>
      </c>
      <c r="K13" s="25">
        <v>0</v>
      </c>
      <c r="L13" s="23">
        <v>0</v>
      </c>
      <c r="M13" s="23">
        <v>0</v>
      </c>
      <c r="N13" s="23">
        <v>0</v>
      </c>
      <c r="O13" s="23">
        <f>+[55]ESNG!AH9</f>
        <v>-2</v>
      </c>
    </row>
    <row r="14" spans="1:17" ht="13.8" thickBot="1" x14ac:dyDescent="0.3">
      <c r="A14" s="26" t="s">
        <v>23</v>
      </c>
      <c r="B14" s="27">
        <f t="shared" ref="B14:H14" si="0">SUM(B8:B13)</f>
        <v>44839</v>
      </c>
      <c r="C14" s="27">
        <f t="shared" si="0"/>
        <v>12918</v>
      </c>
      <c r="D14" s="27">
        <f t="shared" si="0"/>
        <v>10968</v>
      </c>
      <c r="E14" s="27">
        <f t="shared" si="0"/>
        <v>15519</v>
      </c>
      <c r="F14" s="27">
        <f t="shared" si="0"/>
        <v>55183</v>
      </c>
      <c r="G14" s="27">
        <f t="shared" si="0"/>
        <v>31102</v>
      </c>
      <c r="H14" s="27">
        <f t="shared" si="0"/>
        <v>18</v>
      </c>
      <c r="I14" s="23"/>
      <c r="J14" s="27">
        <f t="shared" ref="J14:O14" si="1">SUM(J8:J13)</f>
        <v>0</v>
      </c>
      <c r="K14" s="27">
        <f t="shared" si="1"/>
        <v>12723</v>
      </c>
      <c r="L14" s="27">
        <v>69</v>
      </c>
      <c r="M14" s="27">
        <f t="shared" si="1"/>
        <v>54306</v>
      </c>
      <c r="N14" s="27">
        <f t="shared" si="1"/>
        <v>31049</v>
      </c>
      <c r="O14" s="27">
        <f t="shared" si="1"/>
        <v>15</v>
      </c>
    </row>
    <row r="15" spans="1:17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25">
      <c r="A17" s="14"/>
      <c r="B17" s="23"/>
      <c r="C17" s="15" t="s">
        <v>32</v>
      </c>
      <c r="D17" s="15"/>
      <c r="E17" s="28"/>
      <c r="F17" s="28"/>
      <c r="G17" s="28"/>
      <c r="H17" s="23"/>
      <c r="I17" s="23"/>
      <c r="J17" s="23"/>
      <c r="K17" s="15" t="s">
        <v>24</v>
      </c>
      <c r="L17" s="28"/>
      <c r="M17" s="28"/>
      <c r="N17" s="28"/>
      <c r="O17" s="23"/>
    </row>
    <row r="18" spans="1:15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</row>
    <row r="19" spans="1:15" x14ac:dyDescent="0.25">
      <c r="A19" s="12" t="s">
        <v>17</v>
      </c>
      <c r="B19" s="23">
        <f>+[55]Delaware!B5</f>
        <v>80059</v>
      </c>
      <c r="C19" s="23">
        <f>+[55]Maryland!B5</f>
        <v>10806</v>
      </c>
      <c r="D19" s="23">
        <f>'[55]Worcester County'!B5</f>
        <v>9849</v>
      </c>
      <c r="E19" s="24">
        <f>+[55]CFG!B5</f>
        <v>13970</v>
      </c>
      <c r="F19" s="23">
        <f>+'[55]FPU-NG'!B5</f>
        <v>50086</v>
      </c>
      <c r="G19" s="23">
        <f>+[55]Electric!B5</f>
        <v>23742</v>
      </c>
      <c r="H19" s="23">
        <v>0</v>
      </c>
      <c r="I19" s="23"/>
      <c r="J19" s="23">
        <f>+[55]Delaware!U5</f>
        <v>38954</v>
      </c>
      <c r="K19" s="23">
        <f>+[55]Maryland!U5</f>
        <v>10689</v>
      </c>
      <c r="L19" s="23">
        <f>+[55]CFG!U5</f>
        <v>13783</v>
      </c>
      <c r="M19" s="23">
        <f>'[55]FPU-NG'!U39</f>
        <v>48603</v>
      </c>
      <c r="N19" s="23">
        <f>+[55]Electric!U5</f>
        <v>23670</v>
      </c>
      <c r="O19" s="23">
        <v>0</v>
      </c>
    </row>
    <row r="20" spans="1:15" x14ac:dyDescent="0.25">
      <c r="A20" s="12" t="s">
        <v>18</v>
      </c>
      <c r="B20" s="23">
        <f>+[55]Delaware!B6</f>
        <v>7148</v>
      </c>
      <c r="C20" s="23">
        <f>+[55]Maryland!B6</f>
        <v>1774</v>
      </c>
      <c r="D20" s="23">
        <f>'[55]Worcester County'!B6</f>
        <v>1096</v>
      </c>
      <c r="E20" s="24">
        <f>+[55]CFG!B6</f>
        <v>1299</v>
      </c>
      <c r="F20" s="23">
        <f>+'[55]FPU-NG'!B6</f>
        <v>4605</v>
      </c>
      <c r="G20" s="23">
        <f>+[55]Electric!B6</f>
        <v>7407</v>
      </c>
      <c r="H20" s="23">
        <v>0</v>
      </c>
      <c r="I20" s="23"/>
      <c r="J20" s="23">
        <f>+[55]Delaware!U6</f>
        <v>3502</v>
      </c>
      <c r="K20" s="23">
        <f>+[55]Maryland!U6</f>
        <v>1740</v>
      </c>
      <c r="L20" s="23">
        <f>+[55]CFG!U6</f>
        <v>1252</v>
      </c>
      <c r="M20" s="23">
        <f>'[55]FPU-NG'!U40</f>
        <v>4528</v>
      </c>
      <c r="N20" s="23">
        <f>+[55]Electric!U6</f>
        <v>7394</v>
      </c>
      <c r="O20" s="23">
        <v>0</v>
      </c>
    </row>
    <row r="21" spans="1:15" x14ac:dyDescent="0.25">
      <c r="A21" s="12" t="s">
        <v>26</v>
      </c>
      <c r="B21" s="23">
        <f>+[55]Delaware!B7</f>
        <v>135</v>
      </c>
      <c r="C21" s="23">
        <f>+[55]Maryland!B7</f>
        <v>35</v>
      </c>
      <c r="D21" s="23">
        <f>'[55]Worcester County'!B7</f>
        <v>7</v>
      </c>
      <c r="E21" s="24">
        <f>+[55]CFG!B7</f>
        <v>58</v>
      </c>
      <c r="F21" s="23">
        <f>+'[55]FPU-NG'!B7</f>
        <v>947</v>
      </c>
      <c r="G21" s="23">
        <f>+[55]Electric!B7</f>
        <v>2</v>
      </c>
      <c r="H21" s="23">
        <v>0</v>
      </c>
      <c r="I21" s="23"/>
      <c r="J21" s="23">
        <f>+[55]Delaware!U7</f>
        <v>66</v>
      </c>
      <c r="K21" s="23">
        <f>+[55]Maryland!U7</f>
        <v>36</v>
      </c>
      <c r="L21" s="23">
        <f>+[55]CFG!U7</f>
        <v>55</v>
      </c>
      <c r="M21" s="23">
        <f>'[55]FPU-NG'!U41</f>
        <v>834</v>
      </c>
      <c r="N21" s="23">
        <f>+[55]Electric!U7</f>
        <v>2</v>
      </c>
      <c r="O21" s="23">
        <v>0</v>
      </c>
    </row>
    <row r="22" spans="1:15" x14ac:dyDescent="0.25">
      <c r="A22" s="12" t="s">
        <v>20</v>
      </c>
      <c r="B22" s="23">
        <v>0</v>
      </c>
      <c r="C22" s="23">
        <f>+[55]Maryland!B8</f>
        <v>0</v>
      </c>
      <c r="D22" s="23">
        <v>0</v>
      </c>
      <c r="E22" s="24">
        <f>+[55]CFG!B8</f>
        <v>0</v>
      </c>
      <c r="F22" s="23">
        <f>+'[55]FPU-NG'!B8</f>
        <v>0</v>
      </c>
      <c r="G22" s="23">
        <f>+[55]Electric!B8</f>
        <v>0</v>
      </c>
      <c r="H22" s="23">
        <f>+[55]ESNG!B8</f>
        <v>18</v>
      </c>
      <c r="I22" s="23"/>
      <c r="J22" s="23">
        <v>0</v>
      </c>
      <c r="K22" s="23">
        <v>0</v>
      </c>
      <c r="L22" s="23">
        <v>0</v>
      </c>
      <c r="M22" s="23">
        <f>'[55]FPU-NG'!U42</f>
        <v>0</v>
      </c>
      <c r="N22" s="23">
        <f>+[55]Electric!U8</f>
        <v>0</v>
      </c>
      <c r="O22" s="23">
        <f>+[55]ESNG!U8</f>
        <v>17</v>
      </c>
    </row>
    <row r="23" spans="1:15" s="10" customFormat="1" x14ac:dyDescent="0.25">
      <c r="A23" s="10" t="s">
        <v>21</v>
      </c>
      <c r="B23" s="23">
        <f>+[55]Delaware!B8</f>
        <v>11</v>
      </c>
      <c r="C23" s="23">
        <v>0</v>
      </c>
      <c r="D23" s="23">
        <f>'[55]Worcester County'!B8</f>
        <v>0</v>
      </c>
      <c r="E23" s="24">
        <v>0</v>
      </c>
      <c r="F23" s="23">
        <v>0</v>
      </c>
      <c r="G23" s="23">
        <v>0</v>
      </c>
      <c r="H23" s="23">
        <v>0</v>
      </c>
      <c r="I23" s="23"/>
      <c r="J23" s="23">
        <f>+[55]Delaware!U8</f>
        <v>4</v>
      </c>
      <c r="K23" s="23">
        <f>+[55]Maryland!U8</f>
        <v>0</v>
      </c>
      <c r="L23" s="23">
        <v>0</v>
      </c>
      <c r="M23" s="23">
        <v>0</v>
      </c>
      <c r="N23" s="23">
        <v>0</v>
      </c>
      <c r="O23" s="23">
        <v>0</v>
      </c>
    </row>
    <row r="24" spans="1:15" x14ac:dyDescent="0.25">
      <c r="A24" s="10" t="s">
        <v>22</v>
      </c>
      <c r="B24" s="23">
        <v>0</v>
      </c>
      <c r="C24" s="23">
        <v>0</v>
      </c>
      <c r="D24" s="23">
        <v>0</v>
      </c>
      <c r="E24" s="24">
        <f>+[55]CFG!B10</f>
        <v>0</v>
      </c>
      <c r="F24" s="23">
        <v>0</v>
      </c>
      <c r="G24" s="23">
        <v>0</v>
      </c>
      <c r="H24" s="23">
        <f>+[55]ESNG!B9</f>
        <v>-2</v>
      </c>
      <c r="I24" s="23"/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f>+[55]ESNG!U9</f>
        <v>-2</v>
      </c>
    </row>
    <row r="25" spans="1:15" ht="13.8" thickBot="1" x14ac:dyDescent="0.3">
      <c r="A25" s="26" t="s">
        <v>27</v>
      </c>
      <c r="B25" s="27">
        <f t="shared" ref="B25:H25" si="2">SUM(B19:B24)</f>
        <v>87353</v>
      </c>
      <c r="C25" s="27">
        <f t="shared" si="2"/>
        <v>12615</v>
      </c>
      <c r="D25" s="27">
        <f t="shared" si="2"/>
        <v>10952</v>
      </c>
      <c r="E25" s="27">
        <f t="shared" si="2"/>
        <v>15327</v>
      </c>
      <c r="F25" s="27">
        <f t="shared" si="2"/>
        <v>55638</v>
      </c>
      <c r="G25" s="27">
        <f t="shared" si="2"/>
        <v>31151</v>
      </c>
      <c r="H25" s="27">
        <f t="shared" si="2"/>
        <v>16</v>
      </c>
      <c r="I25" s="23"/>
      <c r="J25" s="27">
        <f t="shared" ref="J25:O25" si="3">SUM(J19:J24)</f>
        <v>42526</v>
      </c>
      <c r="K25" s="27">
        <f t="shared" si="3"/>
        <v>12465</v>
      </c>
      <c r="L25" s="27">
        <f t="shared" si="3"/>
        <v>15090</v>
      </c>
      <c r="M25" s="27">
        <f t="shared" si="3"/>
        <v>53965</v>
      </c>
      <c r="N25" s="27">
        <f t="shared" si="3"/>
        <v>31066</v>
      </c>
      <c r="O25" s="27">
        <f t="shared" si="3"/>
        <v>15</v>
      </c>
    </row>
    <row r="26" spans="1:15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</row>
    <row r="30" spans="1:15" ht="13.8" x14ac:dyDescent="0.3">
      <c r="A30" s="30"/>
    </row>
    <row r="31" spans="1:15" ht="13.8" x14ac:dyDescent="0.3">
      <c r="A31" s="30"/>
    </row>
    <row r="32" spans="1:15" x14ac:dyDescent="0.25">
      <c r="A32" s="10"/>
    </row>
  </sheetData>
  <pageMargins left="0.45" right="0.45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2"/>
  <sheetViews>
    <sheetView zoomScaleNormal="10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G27" sqref="G27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5" width="13.44140625" style="12" customWidth="1"/>
    <col min="16" max="16384" width="9.109375" style="12"/>
  </cols>
  <sheetData>
    <row r="1" spans="1:17" s="5" customFormat="1" ht="16.2" x14ac:dyDescent="0.4">
      <c r="A1" s="4"/>
      <c r="F1" s="6"/>
      <c r="G1" s="7" t="s">
        <v>6</v>
      </c>
      <c r="I1" s="8"/>
    </row>
    <row r="2" spans="1:17" s="5" customFormat="1" ht="16.2" x14ac:dyDescent="0.4">
      <c r="A2" s="4"/>
      <c r="B2" s="9"/>
      <c r="F2" s="32"/>
      <c r="G2" s="7" t="s">
        <v>7</v>
      </c>
      <c r="I2" s="8"/>
    </row>
    <row r="3" spans="1:17" ht="16.2" x14ac:dyDescent="0.4">
      <c r="A3" s="10"/>
      <c r="B3" s="10"/>
      <c r="C3" s="11"/>
      <c r="D3" s="11"/>
      <c r="E3" s="12"/>
      <c r="F3" s="33"/>
      <c r="G3" s="33" t="str">
        <f>+[56]INPUT_Date.Etc!B7</f>
        <v>For the Twelve Months ended December 31, 2014 and 2013</v>
      </c>
      <c r="H3" s="10"/>
      <c r="J3" s="13"/>
      <c r="K3" s="10"/>
      <c r="L3" s="11"/>
      <c r="M3" s="10"/>
      <c r="N3" s="10"/>
      <c r="O3" s="10"/>
    </row>
    <row r="4" spans="1:17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1"/>
      <c r="M4" s="10"/>
      <c r="N4" s="10"/>
      <c r="O4" s="10"/>
    </row>
    <row r="5" spans="1:17" s="10" customFormat="1" x14ac:dyDescent="0.25">
      <c r="E5" s="14"/>
    </row>
    <row r="6" spans="1:17" s="10" customFormat="1" x14ac:dyDescent="0.25">
      <c r="C6" s="15"/>
      <c r="D6" s="15" t="str">
        <f>+VLOOKUP([56]INPUT_Date.Etc!$B$4,[56]INPUT_Date.Etc!$A$14:$P$25,[56]INPUT_Date.Etc!$I$12)</f>
        <v>Actual customers for the Month of December 2014</v>
      </c>
      <c r="E6" s="16"/>
      <c r="F6" s="17"/>
      <c r="K6" s="15" t="str">
        <f>+VLOOKUP([56]INPUT_Date.Etc!$B$4,[56]INPUT_Date.Etc!$A$14:$P$25,[56]INPUT_Date.Etc!$J$12)</f>
        <v>Actual customers for the Month of December 2013</v>
      </c>
      <c r="L6" s="16"/>
      <c r="M6" s="17"/>
    </row>
    <row r="7" spans="1:17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7" x14ac:dyDescent="0.25">
      <c r="A8" s="12" t="s">
        <v>17</v>
      </c>
      <c r="B8" s="22">
        <f>+HLOOKUP([56]INPUT_Date.Etc!$B$4,[56]Delaware!$A$4:$P$57,2, FALSE)</f>
        <v>42801</v>
      </c>
      <c r="C8" s="22">
        <f>+HLOOKUP([56]INPUT_Date.Etc!$B$4,[56]Maryland!$A$4:$P$57,2, FALSE)</f>
        <v>11185</v>
      </c>
      <c r="D8" s="22">
        <f>+HLOOKUP([56]INPUT_Date.Etc!$B$4,[56]WorcesterCounty!$A$4:$P$57,2, FALSE)</f>
        <v>9802</v>
      </c>
      <c r="E8" s="22">
        <f>+HLOOKUP([56]INPUT_Date.Etc!$B$4,[56]CFG!$A$4:$P$57,2, FALSE)</f>
        <v>14666</v>
      </c>
      <c r="F8" s="22">
        <f>+HLOOKUP([56]INPUT_Date.Etc!$B$4,[56]FPUNG!$A$4:$P$116,2, FALSE)</f>
        <v>51280</v>
      </c>
      <c r="G8" s="22">
        <f>+HLOOKUP([56]INPUT_Date.Etc!$B$4,[56]Electric!$A$4:$P$43,2, FALSE)</f>
        <v>23862</v>
      </c>
      <c r="H8" s="22">
        <v>0</v>
      </c>
      <c r="I8" s="23"/>
      <c r="J8" s="22">
        <f>+HLOOKUP([56]INPUT_Date.Etc!$B$4,[56]Delaware!$T$4:$AI$52,2, FALSE)</f>
        <v>41078</v>
      </c>
      <c r="K8" s="22">
        <f>+HLOOKUP([56]INPUT_Date.Etc!$B$4,[56]Maryland!$T$4:$AI$52,2, FALSE)</f>
        <v>11078</v>
      </c>
      <c r="L8" s="22">
        <f>+HLOOKUP([56]INPUT_Date.Etc!$B$4,[56]CFG!$T$4:$AI$52,2, FALSE)</f>
        <v>14127</v>
      </c>
      <c r="M8" s="22">
        <f>+HLOOKUP([56]INPUT_Date.Etc!$B$4,[56]FPUNG!$T$4:$AI$116,2, FALSE)</f>
        <v>49580</v>
      </c>
      <c r="N8" s="22">
        <f>+HLOOKUP([56]INPUT_Date.Etc!$B$4,[56]Electric!$T$4:$AI$43,2, FALSE)</f>
        <v>23695</v>
      </c>
      <c r="O8" s="22">
        <v>0</v>
      </c>
    </row>
    <row r="9" spans="1:17" x14ac:dyDescent="0.25">
      <c r="A9" s="12" t="s">
        <v>18</v>
      </c>
      <c r="B9" s="22">
        <f>+HLOOKUP([56]INPUT_Date.Etc!$B$4,[56]Delaware!$A$4:$P$57,3, FALSE)</f>
        <v>3757</v>
      </c>
      <c r="C9" s="22">
        <f>+HLOOKUP([56]INPUT_Date.Etc!$B$4,[56]Maryland!$A$4:$P$57,3, FALSE)</f>
        <v>1832</v>
      </c>
      <c r="D9" s="22">
        <f>+HLOOKUP([56]INPUT_Date.Etc!$B$4,[56]WorcesterCounty!$A$4:$P$57,3, FALSE)</f>
        <v>1071</v>
      </c>
      <c r="E9" s="22">
        <f>+HLOOKUP([56]INPUT_Date.Etc!$B$4,[56]CFG!$A$4:$P$57,3, FALSE)</f>
        <v>1353</v>
      </c>
      <c r="F9" s="22">
        <f>+HLOOKUP([56]INPUT_Date.Etc!$B$4,[56]FPUNG!$A$4:$P$116,3, FALSE)</f>
        <v>4320</v>
      </c>
      <c r="G9" s="22">
        <f>+HLOOKUP([56]INPUT_Date.Etc!$B$4,[56]Electric!$A$4:$P$43,3, FALSE)</f>
        <v>7380</v>
      </c>
      <c r="H9" s="22">
        <f>+HLOOKUP([56]INPUT_Date.Etc!$B$4,[56]ESNG!$E$4:$P$11,3, FALSE)</f>
        <v>0</v>
      </c>
      <c r="I9" s="23"/>
      <c r="J9" s="22">
        <f>+HLOOKUP([56]INPUT_Date.Etc!$B$4,[56]Delaware!$T$4:$AI$52,3, FALSE)</f>
        <v>3685</v>
      </c>
      <c r="K9" s="22">
        <f>+HLOOKUP([56]INPUT_Date.Etc!$B$4,[56]Maryland!$T$4:$AI$52,3, FALSE)</f>
        <v>1805</v>
      </c>
      <c r="L9" s="22">
        <f>+HLOOKUP([56]INPUT_Date.Etc!$B$4,[56]CFG!$T$4:$AI$52,3, FALSE)</f>
        <v>1334</v>
      </c>
      <c r="M9" s="22">
        <f>+HLOOKUP([56]INPUT_Date.Etc!$B$4,[56]FPUNG!$T$4:$AI$116,3, FALSE)</f>
        <v>4378</v>
      </c>
      <c r="N9" s="22">
        <f>+HLOOKUP([56]INPUT_Date.Etc!$B$4,[56]Electric!$T$4:$AI$43,3, FALSE)</f>
        <v>7405</v>
      </c>
      <c r="O9" s="22">
        <v>0</v>
      </c>
    </row>
    <row r="10" spans="1:17" x14ac:dyDescent="0.25">
      <c r="A10" s="12" t="s">
        <v>19</v>
      </c>
      <c r="B10" s="22">
        <f>+HLOOKUP([56]INPUT_Date.Etc!$B$4,[56]Delaware!$A$4:$P$57,4, FALSE)</f>
        <v>75</v>
      </c>
      <c r="C10" s="22">
        <f>+HLOOKUP([56]INPUT_Date.Etc!$B$4,[56]Maryland!$A$4:$P$57,4, FALSE)</f>
        <v>36</v>
      </c>
      <c r="D10" s="22">
        <f>+HLOOKUP([56]INPUT_Date.Etc!$B$4,[56]WorcesterCounty!$A$4:$P$57,4, FALSE)</f>
        <v>4</v>
      </c>
      <c r="E10" s="22">
        <f>+HLOOKUP([56]INPUT_Date.Etc!$B$4,[56]CFG!$A$4:$P$57,4, FALSE)</f>
        <v>67</v>
      </c>
      <c r="F10" s="22">
        <f>+HLOOKUP([56]INPUT_Date.Etc!$B$4,[56]FPUNG!$A$4:$P$116,4, FALSE)</f>
        <v>1470</v>
      </c>
      <c r="G10" s="22">
        <f>+HLOOKUP([56]INPUT_Date.Etc!$B$4,[56]Electric!$A$4:$P$43,4, FALSE)</f>
        <v>2</v>
      </c>
      <c r="H10" s="22">
        <v>0</v>
      </c>
      <c r="I10" s="23"/>
      <c r="J10" s="22">
        <f>+HLOOKUP([56]INPUT_Date.Etc!$B$4,[56]Delaware!$T$4:$AI$52,4, FALSE)</f>
        <v>69</v>
      </c>
      <c r="K10" s="22">
        <f>+HLOOKUP([56]INPUT_Date.Etc!$B$4,[56]Maryland!$T$4:$AI$52,4, FALSE)</f>
        <v>35</v>
      </c>
      <c r="L10" s="22">
        <f>+HLOOKUP([56]INPUT_Date.Etc!$B$4,[56]CFG!$T$4:$AI$52,4, FALSE)</f>
        <v>58</v>
      </c>
      <c r="M10" s="22">
        <f>+HLOOKUP([56]INPUT_Date.Etc!$B$4,[56]FPUNG!$T$4:$AI$116,4, FALSE)</f>
        <v>1196</v>
      </c>
      <c r="N10" s="22">
        <f>+HLOOKUP([56]INPUT_Date.Etc!$B$4,[56]Electric!$T$4:$AI$43,4, FALSE)</f>
        <v>2</v>
      </c>
      <c r="O10" s="22">
        <v>0</v>
      </c>
    </row>
    <row r="11" spans="1:17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+HLOOKUP([56]INPUT_Date.Etc!$B$4,[56]ESNG!$A$4:$P$72,4, FALSE)</f>
        <v>19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>+HLOOKUP([56]INPUT_Date.Etc!$B$4,[56]ESNG!$T$4:$AI$58,4, FALSE)</f>
        <v>20</v>
      </c>
    </row>
    <row r="12" spans="1:17" x14ac:dyDescent="0.25">
      <c r="A12" s="10" t="s">
        <v>21</v>
      </c>
      <c r="B12" s="22">
        <f>+HLOOKUP([56]INPUT_Date.Etc!$B$4,[56]Delaware!$A$4:$P$57,5, FALSE)</f>
        <v>7</v>
      </c>
      <c r="C12" s="22">
        <f>+HLOOKUP([56]INPUT_Date.Etc!$B$4,[56]Maryland!$A$4:$P$57,5, FALSE)</f>
        <v>0</v>
      </c>
      <c r="D12" s="22">
        <f>+HLOOKUP([56]INPUT_Date.Etc!$B$4,[56]WorcesterCounty!$A$4:$P$57,5, FALSE)</f>
        <v>0</v>
      </c>
      <c r="E12" s="22">
        <f>+HLOOKUP([56]INPUT_Date.Etc!$B$4,[56]CFG!$A$4:$P$57,5, FALSE)</f>
        <v>0</v>
      </c>
      <c r="F12" s="22">
        <f>+HLOOKUP([56]INPUT_Date.Etc!$B$4,[56]FPUNG!$A$4:$P$116,5, FALSE)</f>
        <v>0</v>
      </c>
      <c r="G12" s="22">
        <f>+HLOOKUP([56]INPUT_Date.Etc!$B$4,[56]Electric!$A$4:$P$43,5, FALSE)</f>
        <v>0</v>
      </c>
      <c r="H12" s="22">
        <v>0</v>
      </c>
      <c r="I12" s="23"/>
      <c r="J12" s="22">
        <f>+HLOOKUP([56]INPUT_Date.Etc!$B$4,[56]Delaware!$T$4:$AI$52,5, FALSE)</f>
        <v>7</v>
      </c>
      <c r="K12" s="22">
        <f>+HLOOKUP([56]INPUT_Date.Etc!$B$4,[56]Maryland!$T$4:$AI$52,5, FALSE)</f>
        <v>0</v>
      </c>
      <c r="L12" s="22">
        <f>+HLOOKUP([56]INPUT_Date.Etc!$B$4,[56]CFG!$T$4:$AI$52,5, FALSE)</f>
        <v>0</v>
      </c>
      <c r="M12" s="22">
        <f>+HLOOKUP([56]INPUT_Date.Etc!$B$4,[56]FPUNG!$A$4:$P$116,5, FALSE)</f>
        <v>0</v>
      </c>
      <c r="N12" s="22">
        <f>+HLOOKUP([56]INPUT_Date.Etc!$B$4,[56]Electric!$T$4:$AI$43,5, FALSE)</f>
        <v>0</v>
      </c>
      <c r="O12" s="22">
        <v>0</v>
      </c>
      <c r="P12" s="10"/>
      <c r="Q12" s="10"/>
    </row>
    <row r="13" spans="1:17" x14ac:dyDescent="0.25">
      <c r="A13" s="10" t="s">
        <v>22</v>
      </c>
      <c r="B13" s="22">
        <f>+[56]Delaware!N10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+HLOOKUP([56]INPUT_Date.Etc!$B$4,[56]ESNG!$A$4:$P$72,5, FALSE)</f>
        <v>-3</v>
      </c>
      <c r="I13" s="23"/>
      <c r="J13" s="22">
        <f>+[56]Delaware!V10</f>
        <v>0</v>
      </c>
      <c r="K13" s="22">
        <f>+[56]Maryland!W10</f>
        <v>0</v>
      </c>
      <c r="L13" s="22">
        <f>+[56]CFG!Y10</f>
        <v>0</v>
      </c>
      <c r="M13" s="24">
        <v>0</v>
      </c>
      <c r="N13" s="22">
        <v>0</v>
      </c>
      <c r="O13" s="22">
        <f>+HLOOKUP([56]INPUT_Date.Etc!$B$4,[56]ESNG!$T$4:$AI$58,5, FALSE)</f>
        <v>-2</v>
      </c>
    </row>
    <row r="14" spans="1:17" ht="13.8" thickBot="1" x14ac:dyDescent="0.3">
      <c r="A14" s="26" t="s">
        <v>23</v>
      </c>
      <c r="B14" s="27">
        <f t="shared" ref="B14:H14" si="0">SUM(B8:B13)</f>
        <v>46640</v>
      </c>
      <c r="C14" s="27">
        <f t="shared" si="0"/>
        <v>13053</v>
      </c>
      <c r="D14" s="27">
        <f t="shared" si="0"/>
        <v>10877</v>
      </c>
      <c r="E14" s="27">
        <f t="shared" si="0"/>
        <v>16086</v>
      </c>
      <c r="F14" s="27">
        <f t="shared" si="0"/>
        <v>57070</v>
      </c>
      <c r="G14" s="27">
        <f t="shared" si="0"/>
        <v>31244</v>
      </c>
      <c r="H14" s="27">
        <f t="shared" si="0"/>
        <v>16</v>
      </c>
      <c r="I14" s="23"/>
      <c r="J14" s="27">
        <f t="shared" ref="J14:O14" si="1">SUM(J8:J13)</f>
        <v>44839</v>
      </c>
      <c r="K14" s="27">
        <f t="shared" si="1"/>
        <v>12918</v>
      </c>
      <c r="L14" s="27">
        <f t="shared" si="1"/>
        <v>15519</v>
      </c>
      <c r="M14" s="27">
        <f t="shared" si="1"/>
        <v>55154</v>
      </c>
      <c r="N14" s="27">
        <f t="shared" si="1"/>
        <v>31102</v>
      </c>
      <c r="O14" s="27">
        <f t="shared" si="1"/>
        <v>18</v>
      </c>
    </row>
    <row r="15" spans="1:17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25">
      <c r="A17" s="14"/>
      <c r="B17" s="23"/>
      <c r="C17" s="15"/>
      <c r="D17" s="15" t="str">
        <f>+VLOOKUP([56]INPUT_Date.Etc!$B$4,[56]INPUT_Date.Etc!$A$14:$P$25,[56]INPUT_Date.Etc!$K$12)</f>
        <v>Average customers for the Twelve Months ended December 31, 2014</v>
      </c>
      <c r="E17" s="28"/>
      <c r="F17" s="28"/>
      <c r="G17" s="28"/>
      <c r="H17" s="23"/>
      <c r="I17" s="23"/>
      <c r="J17" s="23"/>
      <c r="K17" s="15" t="str">
        <f>+VLOOKUP([56]INPUT_Date.Etc!$B$4,[56]INPUT_Date.Etc!$A$14:$P$25,[56]INPUT_Date.Etc!$L$12)</f>
        <v>Average customers for the Twelve Months ended December 31, 2013</v>
      </c>
      <c r="L17" s="28"/>
      <c r="M17" s="28"/>
      <c r="N17" s="28"/>
      <c r="O17" s="23"/>
    </row>
    <row r="18" spans="1:15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</row>
    <row r="19" spans="1:15" x14ac:dyDescent="0.25">
      <c r="A19" s="12" t="s">
        <v>17</v>
      </c>
      <c r="B19" s="23">
        <f>+HLOOKUP([56]INPUT_Date.Etc!$B$4,[56]Delaware!$A$4:$P$57,31, FALSE)</f>
        <v>41465</v>
      </c>
      <c r="C19" s="23">
        <f>+HLOOKUP([56]INPUT_Date.Etc!$B$4,[56]Maryland!$A$4:$P$57,31, FALSE)</f>
        <v>10933</v>
      </c>
      <c r="D19" s="23">
        <f>+HLOOKUP([56]INPUT_Date.Etc!$B$4,[56]WorcesterCounty!$A$4:$P$57,31, FALSE)</f>
        <v>9818</v>
      </c>
      <c r="E19" s="23">
        <f>+HLOOKUP([56]INPUT_Date.Etc!$B$4,[56]CFG!$A$4:$P$57,31, FALSE)</f>
        <v>14412</v>
      </c>
      <c r="F19" s="22">
        <f>+HLOOKUP([56]INPUT_Date.Etc!$B$4,[56]FPUNG!$A$4:$P$116,88, FALSE)</f>
        <v>50835</v>
      </c>
      <c r="G19" s="22">
        <f>+HLOOKUP([56]INPUT_Date.Etc!$B$4,[56]Electric!$A$4:$P$43,24, FALSE)</f>
        <v>23865</v>
      </c>
      <c r="H19" s="22">
        <v>0</v>
      </c>
      <c r="I19" s="23"/>
      <c r="J19" s="22">
        <f>+HLOOKUP([56]INPUT_Date.Etc!$B$4,[56]Delaware!$T$4:$AI$52,31, FALSE)</f>
        <v>40030</v>
      </c>
      <c r="K19" s="22">
        <f>+HLOOKUP([56]INPUT_Date.Etc!$B$4,[56]Maryland!$T$4:$AI$52,31, FALSE)</f>
        <v>10806</v>
      </c>
      <c r="L19" s="22">
        <f>+HLOOKUP([56]INPUT_Date.Etc!$B$4,[56]CFG!$T$4:$AI$52,31, FALSE)</f>
        <v>13970</v>
      </c>
      <c r="M19" s="22">
        <f>+HLOOKUP([56]INPUT_Date.Etc!$B$4,[56]FPUNG!$T$4:$AI$116,88, FALSE)</f>
        <v>50086</v>
      </c>
      <c r="N19" s="22">
        <f>+HLOOKUP([56]INPUT_Date.Etc!$B$4,[56]Electric!$T$4:$AI$43,24, FALSE)</f>
        <v>23742</v>
      </c>
      <c r="O19" s="22">
        <v>0</v>
      </c>
    </row>
    <row r="20" spans="1:15" x14ac:dyDescent="0.25">
      <c r="A20" s="12" t="s">
        <v>18</v>
      </c>
      <c r="B20" s="23">
        <f>+HLOOKUP([56]INPUT_Date.Etc!$B$4,[56]Delaware!$A$4:$P$57,32, FALSE)</f>
        <v>3663</v>
      </c>
      <c r="C20" s="23">
        <f>+HLOOKUP([56]INPUT_Date.Etc!$B$4,[56]Maryland!$A$4:$P$57,32, FALSE)</f>
        <v>1786</v>
      </c>
      <c r="D20" s="23">
        <f>+HLOOKUP([56]INPUT_Date.Etc!$B$4,[56]WorcesterCounty!$A$4:$P$57,32, FALSE)</f>
        <v>1085</v>
      </c>
      <c r="E20" s="23">
        <f>+HLOOKUP([56]INPUT_Date.Etc!$B$4,[56]CFG!$A$4:$P$57,32, FALSE)</f>
        <v>1363</v>
      </c>
      <c r="F20" s="22">
        <f>+HLOOKUP([56]INPUT_Date.Etc!$B$4,[56]FPUNG!$A$4:$P$116,89, FALSE)</f>
        <v>4368</v>
      </c>
      <c r="G20" s="22">
        <f>+HLOOKUP([56]INPUT_Date.Etc!$B$4,[56]Electric!$A$4:$P$43,25, FALSE)</f>
        <v>7405</v>
      </c>
      <c r="H20" s="22">
        <f>+HLOOKUP([56]INPUT_Date.Etc!$B$4,[56]ESNG!$E$4:$P$11,3, FALSE)</f>
        <v>0</v>
      </c>
      <c r="I20" s="23"/>
      <c r="J20" s="22">
        <f>+HLOOKUP([56]INPUT_Date.Etc!$B$4,[56]Delaware!$T$4:$AI$52,32, FALSE)</f>
        <v>3574</v>
      </c>
      <c r="K20" s="22">
        <f>+HLOOKUP([56]INPUT_Date.Etc!$B$4,[56]Maryland!$T$4:$AI$52,32, FALSE)</f>
        <v>1774</v>
      </c>
      <c r="L20" s="22">
        <f>+HLOOKUP([56]INPUT_Date.Etc!$B$4,[56]CFG!$T$4:$AI$52,32, FALSE)</f>
        <v>1299</v>
      </c>
      <c r="M20" s="22">
        <f>+HLOOKUP([56]INPUT_Date.Etc!$B$4,[56]FPUNG!$T$4:$AI$116,89, FALSE)</f>
        <v>4509</v>
      </c>
      <c r="N20" s="22">
        <f>+HLOOKUP([56]INPUT_Date.Etc!$B$4,[56]Electric!$T$4:$AI$43,25, FALSE)</f>
        <v>7406</v>
      </c>
      <c r="O20" s="22">
        <v>0</v>
      </c>
    </row>
    <row r="21" spans="1:15" x14ac:dyDescent="0.25">
      <c r="A21" s="12" t="s">
        <v>26</v>
      </c>
      <c r="B21" s="23">
        <f>+HLOOKUP([56]INPUT_Date.Etc!$B$4,[56]Delaware!$A$4:$P$57,33, FALSE)</f>
        <v>71</v>
      </c>
      <c r="C21" s="23">
        <f>+HLOOKUP([56]INPUT_Date.Etc!$B$4,[56]Maryland!$A$4:$P$57,33, FALSE)</f>
        <v>36</v>
      </c>
      <c r="D21" s="23">
        <f>+HLOOKUP([56]INPUT_Date.Etc!$B$4,[56]WorcesterCounty!$A$4:$P$57,33, FALSE)</f>
        <v>4</v>
      </c>
      <c r="E21" s="23">
        <f>+HLOOKUP([56]INPUT_Date.Etc!$B$4,[56]CFG!$A$4:$P$57,33, FALSE)</f>
        <v>60</v>
      </c>
      <c r="F21" s="22">
        <f>+HLOOKUP([56]INPUT_Date.Etc!$B$4,[56]FPUNG!$A$4:$P$116,90, FALSE)</f>
        <v>1321</v>
      </c>
      <c r="G21" s="22">
        <f>+HLOOKUP([56]INPUT_Date.Etc!$B$4,[56]Electric!$A$4:$P$43,26, FALSE)</f>
        <v>2</v>
      </c>
      <c r="H21" s="22">
        <v>0</v>
      </c>
      <c r="I21" s="23"/>
      <c r="J21" s="22">
        <f>+HLOOKUP([56]INPUT_Date.Etc!$B$4,[56]Delaware!$T$4:$AI$52,33, FALSE)</f>
        <v>68</v>
      </c>
      <c r="K21" s="22">
        <f>+HLOOKUP([56]INPUT_Date.Etc!$B$4,[56]Maryland!$T$4:$AI$52,33, FALSE)</f>
        <v>35</v>
      </c>
      <c r="L21" s="22">
        <f>+HLOOKUP([56]INPUT_Date.Etc!$B$4,[56]CFG!$T$4:$AI$52,33, FALSE)</f>
        <v>58</v>
      </c>
      <c r="M21" s="22">
        <f>+HLOOKUP([56]INPUT_Date.Etc!$B$4,[56]FPUNG!$T$4:$AI$116,90, FALSE)</f>
        <v>1040</v>
      </c>
      <c r="N21" s="22">
        <f>+HLOOKUP([56]INPUT_Date.Etc!$B$4,[56]Electric!$T$4:$AI$43,26, FALSE)</f>
        <v>2</v>
      </c>
      <c r="O21" s="22">
        <v>0</v>
      </c>
    </row>
    <row r="22" spans="1:15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+HLOOKUP([56]INPUT_Date.Etc!$B$4,[56]ESNG!$A$4:$P$72,40, FALSE)</f>
        <v>18.5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f>+HLOOKUP([56]INPUT_Date.Etc!$B$4,[56]ESNG!$T$4:$AI$58,40, FALSE)</f>
        <v>18.25</v>
      </c>
    </row>
    <row r="23" spans="1:15" s="10" customFormat="1" x14ac:dyDescent="0.25">
      <c r="A23" s="10" t="s">
        <v>21</v>
      </c>
      <c r="B23" s="23">
        <f>+HLOOKUP([56]INPUT_Date.Etc!$B$4,[56]Delaware!$A$4:$P$57,34, FALSE)</f>
        <v>7</v>
      </c>
      <c r="C23" s="23">
        <f>+HLOOKUP([56]INPUT_Date.Etc!$B$4,[56]Maryland!$A$4:$P$57,34, FALSE)</f>
        <v>0</v>
      </c>
      <c r="D23" s="23">
        <f>+HLOOKUP([56]INPUT_Date.Etc!$B$4,[56]WorcesterCounty!$A$4:$P$57,34, FALSE)</f>
        <v>0</v>
      </c>
      <c r="E23" s="23">
        <f>+HLOOKUP([56]INPUT_Date.Etc!$B$4,[56]CFG!$A$4:$P$57,34, FALSE)</f>
        <v>0</v>
      </c>
      <c r="F23" s="22">
        <f>+HLOOKUP([56]INPUT_Date.Etc!$B$4,[56]FPUNG!$A$4:$P$116,91, FALSE)</f>
        <v>0</v>
      </c>
      <c r="G23" s="22">
        <f>+HLOOKUP([56]INPUT_Date.Etc!$B$4,[56]Electric!$A$4:$P$43,27, FALSE)</f>
        <v>0</v>
      </c>
      <c r="H23" s="22">
        <v>0</v>
      </c>
      <c r="I23" s="23"/>
      <c r="J23" s="22">
        <f>+HLOOKUP([56]INPUT_Date.Etc!$B$4,[56]Delaware!$T$4:$AI$52,34, FALSE)</f>
        <v>5</v>
      </c>
      <c r="K23" s="22">
        <f>+HLOOKUP([56]INPUT_Date.Etc!$B$4,[56]Maryland!$T$4:$AI$52,34, FALSE)</f>
        <v>0</v>
      </c>
      <c r="L23" s="22">
        <f>+HLOOKUP([56]INPUT_Date.Etc!$B$4,[56]CFG!$T$4:$AI$52,34, FALSE)</f>
        <v>0</v>
      </c>
      <c r="M23" s="22">
        <f>+HLOOKUP([56]INPUT_Date.Etc!$B$4,[56]FPUNG!$A$4:$P$116,91, FALSE)</f>
        <v>0</v>
      </c>
      <c r="N23" s="22">
        <f>+HLOOKUP([56]INPUT_Date.Etc!$B$4,[56]Electric!$T$4:$AI$43,27, FALSE)</f>
        <v>0</v>
      </c>
      <c r="O23" s="22">
        <v>0</v>
      </c>
    </row>
    <row r="24" spans="1:15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+HLOOKUP([56]INPUT_Date.Etc!$B$4,[56]ESNG!$A$4:$P$72,41, FALSE)</f>
        <v>-3</v>
      </c>
      <c r="I24" s="23"/>
      <c r="J24" s="22">
        <v>0</v>
      </c>
      <c r="K24" s="22">
        <v>0</v>
      </c>
      <c r="L24" s="22">
        <v>0</v>
      </c>
      <c r="M24" s="24">
        <v>0</v>
      </c>
      <c r="N24" s="22">
        <v>0</v>
      </c>
      <c r="O24" s="22">
        <f>+HLOOKUP([56]INPUT_Date.Etc!$B$4,[56]ESNG!$T$4:$AI$58,41, FALSE)</f>
        <v>-2</v>
      </c>
    </row>
    <row r="25" spans="1:15" ht="13.8" thickBot="1" x14ac:dyDescent="0.3">
      <c r="A25" s="26" t="s">
        <v>27</v>
      </c>
      <c r="B25" s="27">
        <f t="shared" ref="B25:H25" si="2">SUM(B19:B24)</f>
        <v>45206</v>
      </c>
      <c r="C25" s="27">
        <f t="shared" si="2"/>
        <v>12755</v>
      </c>
      <c r="D25" s="27">
        <f t="shared" si="2"/>
        <v>10907</v>
      </c>
      <c r="E25" s="27">
        <f t="shared" si="2"/>
        <v>15835</v>
      </c>
      <c r="F25" s="27">
        <f t="shared" si="2"/>
        <v>56524</v>
      </c>
      <c r="G25" s="27">
        <f t="shared" si="2"/>
        <v>31272</v>
      </c>
      <c r="H25" s="27">
        <f t="shared" si="2"/>
        <v>15.5</v>
      </c>
      <c r="I25" s="23"/>
      <c r="J25" s="27">
        <f t="shared" ref="J25:O25" si="3">SUM(J19:J24)</f>
        <v>43677</v>
      </c>
      <c r="K25" s="27">
        <f t="shared" si="3"/>
        <v>12615</v>
      </c>
      <c r="L25" s="27">
        <f t="shared" si="3"/>
        <v>15327</v>
      </c>
      <c r="M25" s="27">
        <f t="shared" si="3"/>
        <v>55635</v>
      </c>
      <c r="N25" s="27">
        <f t="shared" si="3"/>
        <v>31150</v>
      </c>
      <c r="O25" s="27">
        <f t="shared" si="3"/>
        <v>16.25</v>
      </c>
    </row>
    <row r="26" spans="1:15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</row>
    <row r="30" spans="1:15" ht="13.8" x14ac:dyDescent="0.3">
      <c r="A30" s="30"/>
    </row>
    <row r="31" spans="1:15" ht="13.8" x14ac:dyDescent="0.3">
      <c r="A31" s="30"/>
    </row>
    <row r="32" spans="1:15" x14ac:dyDescent="0.25">
      <c r="A32" s="10"/>
    </row>
  </sheetData>
  <pageMargins left="0.45" right="0.45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3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5" sqref="G25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5" width="13.44140625" style="12" customWidth="1"/>
    <col min="16" max="16384" width="9.109375" style="12"/>
  </cols>
  <sheetData>
    <row r="1" spans="1:17" s="5" customFormat="1" ht="16.2" x14ac:dyDescent="0.4">
      <c r="A1" s="4"/>
      <c r="F1" s="6"/>
      <c r="G1" s="7" t="s">
        <v>6</v>
      </c>
      <c r="I1" s="8"/>
    </row>
    <row r="2" spans="1:17" s="5" customFormat="1" ht="16.2" x14ac:dyDescent="0.4">
      <c r="A2" s="4"/>
      <c r="B2" s="9"/>
      <c r="F2" s="32"/>
      <c r="G2" s="7" t="s">
        <v>7</v>
      </c>
      <c r="I2" s="8"/>
    </row>
    <row r="3" spans="1:17" ht="16.2" x14ac:dyDescent="0.4">
      <c r="A3" s="10"/>
      <c r="B3" s="10"/>
      <c r="C3" s="11"/>
      <c r="D3" s="11"/>
      <c r="E3" s="12"/>
      <c r="F3" s="33"/>
      <c r="G3" s="33" t="str">
        <f>+[57]INPUT_Date.Etc!B7</f>
        <v>For the Twelve Months ended December 31, 2015 and 2014</v>
      </c>
      <c r="H3" s="10"/>
      <c r="J3" s="13"/>
      <c r="K3" s="10"/>
      <c r="L3" s="11"/>
      <c r="M3" s="10"/>
      <c r="N3" s="10"/>
      <c r="O3" s="10"/>
    </row>
    <row r="4" spans="1:17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1"/>
      <c r="M4" s="10"/>
      <c r="N4" s="10"/>
      <c r="O4" s="10"/>
    </row>
    <row r="5" spans="1:17" s="10" customFormat="1" x14ac:dyDescent="0.25">
      <c r="E5" s="14"/>
    </row>
    <row r="6" spans="1:17" s="10" customFormat="1" x14ac:dyDescent="0.25">
      <c r="C6" s="15"/>
      <c r="D6" s="15" t="str">
        <f>+VLOOKUP([57]INPUT_Date.Etc!$B$4,[57]INPUT_Date.Etc!$A$14:$P$25,[57]INPUT_Date.Etc!$I$12)</f>
        <v>Actual customers for the Month of December 2015</v>
      </c>
      <c r="E6" s="16"/>
      <c r="F6" s="17"/>
      <c r="K6" s="15" t="str">
        <f>+VLOOKUP([57]INPUT_Date.Etc!$B$4,[57]INPUT_Date.Etc!$A$14:$P$25,[57]INPUT_Date.Etc!$J$12)</f>
        <v>Actual customers for the Month of December 2014</v>
      </c>
      <c r="L6" s="16"/>
      <c r="M6" s="17"/>
    </row>
    <row r="7" spans="1:17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7" x14ac:dyDescent="0.25">
      <c r="A8" s="12" t="s">
        <v>17</v>
      </c>
      <c r="B8" s="22">
        <f>+HLOOKUP([57]INPUT_Date.Etc!$B$4,[57]Delaware!$A$4:$P$57,2, FALSE)</f>
        <v>44550</v>
      </c>
      <c r="C8" s="22">
        <f>+HLOOKUP([57]INPUT_Date.Etc!$B$4,[57]Maryland!$A$4:$P$57,2, FALSE)</f>
        <v>11118</v>
      </c>
      <c r="D8" s="22">
        <f>+HLOOKUP([57]INPUT_Date.Etc!$B$4,[57]WorcesterCounty!$A$4:$P$57,2, FALSE)</f>
        <v>9580</v>
      </c>
      <c r="E8" s="22">
        <f>+HLOOKUP([57]INPUT_Date.Etc!$B$4,[57]CFG!$A$4:$P$57,2, FALSE)</f>
        <v>15093</v>
      </c>
      <c r="F8" s="22">
        <f>+HLOOKUP([57]INPUT_Date.Etc!$B$4,[57]FPUNG!$A$4:$P$116,2, FALSE)</f>
        <v>52655</v>
      </c>
      <c r="G8" s="22">
        <f>+HLOOKUP([57]INPUT_Date.Etc!$B$4,[57]Electric!$A$4:$P$43,2, FALSE)</f>
        <v>24109</v>
      </c>
      <c r="H8" s="22">
        <v>0</v>
      </c>
      <c r="I8" s="23"/>
      <c r="J8" s="22">
        <f>+HLOOKUP([57]INPUT_Date.Etc!$B$4,[57]Delaware!$T$4:$AI$52,2, FALSE)</f>
        <v>42801</v>
      </c>
      <c r="K8" s="22">
        <f>+HLOOKUP([57]INPUT_Date.Etc!$B$4,[57]Maryland!$T$4:$AI$52,2, FALSE)</f>
        <v>11185</v>
      </c>
      <c r="L8" s="22">
        <f>+HLOOKUP([57]INPUT_Date.Etc!$B$4,[57]CFG!$T$4:$AI$52,2, FALSE)</f>
        <v>14666</v>
      </c>
      <c r="M8" s="22">
        <f>+HLOOKUP([57]INPUT_Date.Etc!$B$4,[57]FPUNG!$T$4:$AI$116,2, FALSE)</f>
        <v>51280</v>
      </c>
      <c r="N8" s="22">
        <f>+HLOOKUP([57]INPUT_Date.Etc!$B$4,[57]Electric!$T$4:$AI$43,2, FALSE)</f>
        <v>23862</v>
      </c>
      <c r="O8" s="22">
        <v>0</v>
      </c>
    </row>
    <row r="9" spans="1:17" x14ac:dyDescent="0.25">
      <c r="A9" s="12" t="s">
        <v>18</v>
      </c>
      <c r="B9" s="22">
        <f>+HLOOKUP([57]INPUT_Date.Etc!$B$4,[57]Delaware!$A$4:$P$57,3, FALSE)</f>
        <v>3845</v>
      </c>
      <c r="C9" s="22">
        <f>+HLOOKUP([57]INPUT_Date.Etc!$B$4,[57]Maryland!$A$4:$P$57,3, FALSE)</f>
        <v>1830</v>
      </c>
      <c r="D9" s="22">
        <f>+HLOOKUP([57]INPUT_Date.Etc!$B$4,[57]WorcesterCounty!$A$4:$P$57,3, FALSE)</f>
        <v>1034</v>
      </c>
      <c r="E9" s="22">
        <f>+HLOOKUP([57]INPUT_Date.Etc!$B$4,[57]CFG!$A$4:$P$57,3, FALSE)</f>
        <v>1395</v>
      </c>
      <c r="F9" s="22">
        <f>+HLOOKUP([57]INPUT_Date.Etc!$B$4,[57]FPUNG!$A$4:$P$116,3, FALSE)</f>
        <v>4229</v>
      </c>
      <c r="G9" s="22">
        <f>+HLOOKUP([57]INPUT_Date.Etc!$B$4,[57]Electric!$A$4:$P$43,3, FALSE)</f>
        <v>7383</v>
      </c>
      <c r="H9" s="22">
        <f>+HLOOKUP([57]INPUT_Date.Etc!$B$4,[57]ESNG!$E$4:$P$11,3, FALSE)</f>
        <v>0</v>
      </c>
      <c r="I9" s="23"/>
      <c r="J9" s="22">
        <f>+HLOOKUP([57]INPUT_Date.Etc!$B$4,[57]Delaware!$T$4:$AI$52,3, FALSE)</f>
        <v>3757</v>
      </c>
      <c r="K9" s="22">
        <f>+HLOOKUP([57]INPUT_Date.Etc!$B$4,[57]Maryland!$T$4:$AI$52,3, FALSE)</f>
        <v>1832</v>
      </c>
      <c r="L9" s="22">
        <f>+HLOOKUP([57]INPUT_Date.Etc!$B$4,[57]CFG!$T$4:$AI$52,3, FALSE)</f>
        <v>1353</v>
      </c>
      <c r="M9" s="22">
        <f>+HLOOKUP([57]INPUT_Date.Etc!$B$4,[57]FPUNG!$T$4:$AI$116,3, FALSE)</f>
        <v>4320</v>
      </c>
      <c r="N9" s="22">
        <f>+HLOOKUP([57]INPUT_Date.Etc!$B$4,[57]Electric!$T$4:$AI$43,3, FALSE)</f>
        <v>7380</v>
      </c>
      <c r="O9" s="22">
        <v>0</v>
      </c>
    </row>
    <row r="10" spans="1:17" x14ac:dyDescent="0.25">
      <c r="A10" s="12" t="s">
        <v>19</v>
      </c>
      <c r="B10" s="22">
        <f>+HLOOKUP([57]INPUT_Date.Etc!$B$4,[57]Delaware!$A$4:$P$57,4, FALSE)</f>
        <v>80</v>
      </c>
      <c r="C10" s="22">
        <f>+HLOOKUP([57]INPUT_Date.Etc!$B$4,[57]Maryland!$A$4:$P$57,4, FALSE)</f>
        <v>38</v>
      </c>
      <c r="D10" s="22">
        <f>+HLOOKUP([57]INPUT_Date.Etc!$B$4,[57]WorcesterCounty!$A$4:$P$57,4, FALSE)</f>
        <v>4</v>
      </c>
      <c r="E10" s="22">
        <f>+HLOOKUP([57]INPUT_Date.Etc!$B$4,[57]CFG!$A$4:$P$57,4, FALSE)</f>
        <v>71</v>
      </c>
      <c r="F10" s="22">
        <f>+HLOOKUP([57]INPUT_Date.Etc!$B$4,[57]FPUNG!$A$4:$P$116,4, FALSE)</f>
        <v>1717</v>
      </c>
      <c r="G10" s="22">
        <f>+HLOOKUP([57]INPUT_Date.Etc!$B$4,[57]Electric!$A$4:$P$43,4, FALSE)</f>
        <v>2</v>
      </c>
      <c r="H10" s="22">
        <v>0</v>
      </c>
      <c r="I10" s="23"/>
      <c r="J10" s="22">
        <f>+HLOOKUP([57]INPUT_Date.Etc!$B$4,[57]Delaware!$T$4:$AI$52,4, FALSE)</f>
        <v>75</v>
      </c>
      <c r="K10" s="22">
        <f>+HLOOKUP([57]INPUT_Date.Etc!$B$4,[57]Maryland!$T$4:$AI$52,4, FALSE)</f>
        <v>36</v>
      </c>
      <c r="L10" s="22">
        <f>+HLOOKUP([57]INPUT_Date.Etc!$B$4,[57]CFG!$T$4:$AI$52,4, FALSE)</f>
        <v>67</v>
      </c>
      <c r="M10" s="22">
        <f>+HLOOKUP([57]INPUT_Date.Etc!$B$4,[57]FPUNG!$T$4:$AI$116,4, FALSE)</f>
        <v>1470</v>
      </c>
      <c r="N10" s="22">
        <f>+HLOOKUP([57]INPUT_Date.Etc!$B$4,[57]Electric!$T$4:$AI$43,4, FALSE)</f>
        <v>2</v>
      </c>
      <c r="O10" s="22">
        <v>0</v>
      </c>
    </row>
    <row r="11" spans="1:17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+HLOOKUP([57]INPUT_Date.Etc!$B$4,[57]ESNG!$A$4:$P$72,4, FALSE)</f>
        <v>17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>+HLOOKUP([57]INPUT_Date.Etc!$B$4,[57]ESNG!$T$4:$AI$58,4, FALSE)</f>
        <v>19</v>
      </c>
    </row>
    <row r="12" spans="1:17" x14ac:dyDescent="0.25">
      <c r="A12" s="10" t="s">
        <v>21</v>
      </c>
      <c r="B12" s="22">
        <f>+HLOOKUP([57]INPUT_Date.Etc!$B$4,[57]Delaware!$A$4:$P$57,5, FALSE)</f>
        <v>4</v>
      </c>
      <c r="C12" s="22">
        <f>+HLOOKUP([57]INPUT_Date.Etc!$B$4,[57]Maryland!$A$4:$P$57,5, FALSE)</f>
        <v>0</v>
      </c>
      <c r="D12" s="22">
        <f>+HLOOKUP([57]INPUT_Date.Etc!$B$4,[57]WorcesterCounty!$A$4:$P$57,5, FALSE)</f>
        <v>0</v>
      </c>
      <c r="E12" s="22">
        <f>+HLOOKUP([57]INPUT_Date.Etc!$B$4,[57]CFG!$A$4:$P$57,5, FALSE)</f>
        <v>0</v>
      </c>
      <c r="F12" s="22">
        <f>+HLOOKUP([57]INPUT_Date.Etc!$B$4,[57]FPUNG!$A$4:$P$116,5, FALSE)</f>
        <v>0</v>
      </c>
      <c r="G12" s="22">
        <f>+HLOOKUP([57]INPUT_Date.Etc!$B$4,[57]Electric!$A$4:$P$43,5, FALSE)</f>
        <v>0</v>
      </c>
      <c r="H12" s="22">
        <v>0</v>
      </c>
      <c r="I12" s="23"/>
      <c r="J12" s="22">
        <f>+HLOOKUP([57]INPUT_Date.Etc!$B$4,[57]Delaware!$T$4:$AI$52,5, FALSE)</f>
        <v>7</v>
      </c>
      <c r="K12" s="22">
        <f>+HLOOKUP([57]INPUT_Date.Etc!$B$4,[57]Maryland!$T$4:$AI$52,5, FALSE)</f>
        <v>0</v>
      </c>
      <c r="L12" s="22">
        <f>+HLOOKUP([57]INPUT_Date.Etc!$B$4,[57]CFG!$T$4:$AI$52,5, FALSE)</f>
        <v>0</v>
      </c>
      <c r="M12" s="22">
        <f>+HLOOKUP([57]INPUT_Date.Etc!$B$4,[57]FPUNG!$A$4:$P$116,5, FALSE)</f>
        <v>0</v>
      </c>
      <c r="N12" s="22">
        <f>+HLOOKUP([57]INPUT_Date.Etc!$B$4,[57]Electric!$T$4:$AI$43,5, FALSE)</f>
        <v>0</v>
      </c>
      <c r="O12" s="22">
        <v>0</v>
      </c>
      <c r="P12" s="10"/>
      <c r="Q12" s="10"/>
    </row>
    <row r="13" spans="1:17" x14ac:dyDescent="0.25">
      <c r="A13" s="10" t="s">
        <v>22</v>
      </c>
      <c r="B13" s="22">
        <f>+[57]Delaware!N10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+HLOOKUP([57]INPUT_Date.Etc!$B$4,[57]ESNG!$A$4:$P$72,5, FALSE)</f>
        <v>-3</v>
      </c>
      <c r="I13" s="23"/>
      <c r="J13" s="22">
        <f>+[57]Delaware!V10</f>
        <v>0</v>
      </c>
      <c r="K13" s="22">
        <f>+[57]Maryland!W10</f>
        <v>0</v>
      </c>
      <c r="L13" s="22">
        <f>+[57]CFG!Y10</f>
        <v>0</v>
      </c>
      <c r="M13" s="24">
        <v>0</v>
      </c>
      <c r="N13" s="22">
        <v>0</v>
      </c>
      <c r="O13" s="22">
        <f>+HLOOKUP([57]INPUT_Date.Etc!$B$4,[57]ESNG!$T$4:$AI$58,5, FALSE)</f>
        <v>-3</v>
      </c>
    </row>
    <row r="14" spans="1:17" ht="13.8" thickBot="1" x14ac:dyDescent="0.3">
      <c r="A14" s="26" t="s">
        <v>23</v>
      </c>
      <c r="B14" s="27">
        <f t="shared" ref="B14:H14" si="0">SUM(B8:B13)</f>
        <v>48479</v>
      </c>
      <c r="C14" s="27">
        <f t="shared" si="0"/>
        <v>12986</v>
      </c>
      <c r="D14" s="27">
        <f t="shared" si="0"/>
        <v>10618</v>
      </c>
      <c r="E14" s="27">
        <f t="shared" si="0"/>
        <v>16559</v>
      </c>
      <c r="F14" s="27">
        <f t="shared" si="0"/>
        <v>58601</v>
      </c>
      <c r="G14" s="27">
        <f t="shared" si="0"/>
        <v>31494</v>
      </c>
      <c r="H14" s="27">
        <f t="shared" si="0"/>
        <v>14</v>
      </c>
      <c r="I14" s="23"/>
      <c r="J14" s="27">
        <f t="shared" ref="J14:O14" si="1">SUM(J8:J13)</f>
        <v>46640</v>
      </c>
      <c r="K14" s="27">
        <f t="shared" si="1"/>
        <v>13053</v>
      </c>
      <c r="L14" s="27">
        <f t="shared" si="1"/>
        <v>16086</v>
      </c>
      <c r="M14" s="27">
        <f t="shared" si="1"/>
        <v>57070</v>
      </c>
      <c r="N14" s="27">
        <f t="shared" si="1"/>
        <v>31244</v>
      </c>
      <c r="O14" s="27">
        <f t="shared" si="1"/>
        <v>16</v>
      </c>
    </row>
    <row r="15" spans="1:17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7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25">
      <c r="A17" s="14"/>
      <c r="B17" s="23"/>
      <c r="C17" s="15"/>
      <c r="D17" s="15" t="str">
        <f>+VLOOKUP([57]INPUT_Date.Etc!$B$4,[57]INPUT_Date.Etc!$A$14:$P$25,[57]INPUT_Date.Etc!$K$12)</f>
        <v>Average customers for the Twelve Months ended December 31, 2015</v>
      </c>
      <c r="E17" s="28"/>
      <c r="F17" s="28"/>
      <c r="G17" s="28"/>
      <c r="H17" s="23"/>
      <c r="I17" s="23"/>
      <c r="J17" s="23"/>
      <c r="K17" s="15" t="str">
        <f>+VLOOKUP([57]INPUT_Date.Etc!$B$4,[57]INPUT_Date.Etc!$A$14:$P$25,[57]INPUT_Date.Etc!$L$12)</f>
        <v>Average customers for the Twelve Months ended December 31, 2014</v>
      </c>
      <c r="L17" s="28"/>
      <c r="M17" s="28"/>
      <c r="N17" s="28"/>
      <c r="O17" s="23"/>
    </row>
    <row r="18" spans="1:15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13</v>
      </c>
      <c r="M18" s="19" t="s">
        <v>14</v>
      </c>
      <c r="N18" s="19" t="s">
        <v>15</v>
      </c>
      <c r="O18" s="19" t="s">
        <v>16</v>
      </c>
    </row>
    <row r="19" spans="1:15" x14ac:dyDescent="0.25">
      <c r="A19" s="12" t="s">
        <v>17</v>
      </c>
      <c r="B19" s="23">
        <f>+HLOOKUP([57]INPUT_Date.Etc!$B$4,[57]Delaware!$A$4:$P$57,31, FALSE)</f>
        <v>43285</v>
      </c>
      <c r="C19" s="23">
        <f>+HLOOKUP([57]INPUT_Date.Etc!$B$4,[57]Maryland!$A$4:$P$57,31, FALSE)</f>
        <v>10967</v>
      </c>
      <c r="D19" s="23">
        <f>+HLOOKUP([57]INPUT_Date.Etc!$B$4,[57]WorcesterCounty!$A$4:$P$57,31, FALSE)</f>
        <v>9649</v>
      </c>
      <c r="E19" s="23">
        <f>+HLOOKUP([57]INPUT_Date.Etc!$B$4,[57]CFG!$A$4:$P$57,31, FALSE)</f>
        <v>14854</v>
      </c>
      <c r="F19" s="22">
        <f>+HLOOKUP([57]INPUT_Date.Etc!$B$4,[57]FPUNG!$A$4:$P$116,88, FALSE)</f>
        <v>52046</v>
      </c>
      <c r="G19" s="22">
        <f>+HLOOKUP([57]INPUT_Date.Etc!$B$4,[57]Electric!$A$4:$P$43,24, FALSE)</f>
        <v>24039</v>
      </c>
      <c r="H19" s="22">
        <v>0</v>
      </c>
      <c r="I19" s="23"/>
      <c r="J19" s="22">
        <f>+HLOOKUP([57]INPUT_Date.Etc!$B$4,[57]Delaware!$T$4:$AI$52,31, FALSE)</f>
        <v>41465</v>
      </c>
      <c r="K19" s="22">
        <f>+HLOOKUP([57]INPUT_Date.Etc!$B$4,[57]Maryland!$T$4:$AI$52,31, FALSE)</f>
        <v>10933</v>
      </c>
      <c r="L19" s="22">
        <f>+HLOOKUP([57]INPUT_Date.Etc!$B$4,[57]CFG!$T$4:$AI$52,31, FALSE)</f>
        <v>14412</v>
      </c>
      <c r="M19" s="22">
        <f>+HLOOKUP([57]INPUT_Date.Etc!$B$4,[57]FPUNG!$T$4:$AI$116,88, FALSE)</f>
        <v>50835</v>
      </c>
      <c r="N19" s="22">
        <f>+HLOOKUP([57]INPUT_Date.Etc!$B$4,[57]Electric!$T$4:$AI$43,24, FALSE)</f>
        <v>23865</v>
      </c>
      <c r="O19" s="22">
        <v>0</v>
      </c>
    </row>
    <row r="20" spans="1:15" x14ac:dyDescent="0.25">
      <c r="A20" s="12" t="s">
        <v>18</v>
      </c>
      <c r="B20" s="23">
        <f>+HLOOKUP([57]INPUT_Date.Etc!$B$4,[57]Delaware!$A$4:$P$57,32, FALSE)</f>
        <v>3768</v>
      </c>
      <c r="C20" s="23">
        <f>+HLOOKUP([57]INPUT_Date.Etc!$B$4,[57]Maryland!$A$4:$P$57,32, FALSE)</f>
        <v>1800</v>
      </c>
      <c r="D20" s="23">
        <f>+HLOOKUP([57]INPUT_Date.Etc!$B$4,[57]WorcesterCounty!$A$4:$P$57,32, FALSE)</f>
        <v>1069</v>
      </c>
      <c r="E20" s="23">
        <f>+HLOOKUP([57]INPUT_Date.Etc!$B$4,[57]CFG!$A$4:$P$57,32, FALSE)</f>
        <v>1360</v>
      </c>
      <c r="F20" s="22">
        <f>+HLOOKUP([57]INPUT_Date.Etc!$B$4,[57]FPUNG!$A$4:$P$116,89, FALSE)</f>
        <v>4249</v>
      </c>
      <c r="G20" s="22">
        <f>+HLOOKUP([57]INPUT_Date.Etc!$B$4,[57]Electric!$A$4:$P$43,25, FALSE)</f>
        <v>7389</v>
      </c>
      <c r="H20" s="22">
        <f>+HLOOKUP([57]INPUT_Date.Etc!$B$4,[57]ESNG!$E$4:$P$11,3, FALSE)</f>
        <v>0</v>
      </c>
      <c r="I20" s="23"/>
      <c r="J20" s="22">
        <f>+HLOOKUP([57]INPUT_Date.Etc!$B$4,[57]Delaware!$T$4:$AI$52,32, FALSE)</f>
        <v>3663</v>
      </c>
      <c r="K20" s="22">
        <f>+HLOOKUP([57]INPUT_Date.Etc!$B$4,[57]Maryland!$T$4:$AI$52,32, FALSE)</f>
        <v>1786</v>
      </c>
      <c r="L20" s="22">
        <f>+HLOOKUP([57]INPUT_Date.Etc!$B$4,[57]CFG!$T$4:$AI$52,32, FALSE)</f>
        <v>1363</v>
      </c>
      <c r="M20" s="22">
        <f>+HLOOKUP([57]INPUT_Date.Etc!$B$4,[57]FPUNG!$T$4:$AI$116,89, FALSE)</f>
        <v>4368</v>
      </c>
      <c r="N20" s="22">
        <f>+HLOOKUP([57]INPUT_Date.Etc!$B$4,[57]Electric!$T$4:$AI$43,25, FALSE)</f>
        <v>7405</v>
      </c>
      <c r="O20" s="22">
        <v>0</v>
      </c>
    </row>
    <row r="21" spans="1:15" x14ac:dyDescent="0.25">
      <c r="A21" s="12" t="s">
        <v>26</v>
      </c>
      <c r="B21" s="23">
        <f>+HLOOKUP([57]INPUT_Date.Etc!$B$4,[57]Delaware!$A$4:$P$57,33, FALSE)</f>
        <v>77</v>
      </c>
      <c r="C21" s="23">
        <f>+HLOOKUP([57]INPUT_Date.Etc!$B$4,[57]Maryland!$A$4:$P$57,33, FALSE)</f>
        <v>37</v>
      </c>
      <c r="D21" s="23">
        <f>+HLOOKUP([57]INPUT_Date.Etc!$B$4,[57]WorcesterCounty!$A$4:$P$57,33, FALSE)</f>
        <v>4</v>
      </c>
      <c r="E21" s="23">
        <f>+HLOOKUP([57]INPUT_Date.Etc!$B$4,[57]CFG!$A$4:$P$57,33, FALSE)</f>
        <v>69</v>
      </c>
      <c r="F21" s="22">
        <f>+HLOOKUP([57]INPUT_Date.Etc!$B$4,[57]FPUNG!$A$4:$P$116,90, FALSE)</f>
        <v>1633</v>
      </c>
      <c r="G21" s="22">
        <f>+HLOOKUP([57]INPUT_Date.Etc!$B$4,[57]Electric!$A$4:$P$43,26, FALSE)</f>
        <v>2</v>
      </c>
      <c r="H21" s="22">
        <v>0</v>
      </c>
      <c r="I21" s="23"/>
      <c r="J21" s="22">
        <f>+HLOOKUP([57]INPUT_Date.Etc!$B$4,[57]Delaware!$T$4:$AI$52,33, FALSE)</f>
        <v>71</v>
      </c>
      <c r="K21" s="22">
        <f>+HLOOKUP([57]INPUT_Date.Etc!$B$4,[57]Maryland!$T$4:$AI$52,33, FALSE)</f>
        <v>36</v>
      </c>
      <c r="L21" s="22">
        <f>+HLOOKUP([57]INPUT_Date.Etc!$B$4,[57]CFG!$T$4:$AI$52,33, FALSE)</f>
        <v>60</v>
      </c>
      <c r="M21" s="22">
        <f>+HLOOKUP([57]INPUT_Date.Etc!$B$4,[57]FPUNG!$T$4:$AI$116,90, FALSE)</f>
        <v>1321</v>
      </c>
      <c r="N21" s="22">
        <f>+HLOOKUP([57]INPUT_Date.Etc!$B$4,[57]Electric!$T$4:$AI$43,26, FALSE)</f>
        <v>2</v>
      </c>
      <c r="O21" s="22">
        <v>0</v>
      </c>
    </row>
    <row r="22" spans="1:15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+HLOOKUP([57]INPUT_Date.Etc!$B$4,[57]ESNG!$A$4:$P$72,40, FALSE)</f>
        <v>19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f>+HLOOKUP([57]INPUT_Date.Etc!$B$4,[57]ESNG!$T$4:$AI$58,40, FALSE)</f>
        <v>18.5</v>
      </c>
    </row>
    <row r="23" spans="1:15" s="10" customFormat="1" x14ac:dyDescent="0.25">
      <c r="A23" s="10" t="s">
        <v>21</v>
      </c>
      <c r="B23" s="23">
        <f>+HLOOKUP([57]INPUT_Date.Etc!$B$4,[57]Delaware!$A$4:$P$57,34, FALSE)</f>
        <v>5</v>
      </c>
      <c r="C23" s="23">
        <f>+HLOOKUP([57]INPUT_Date.Etc!$B$4,[57]Maryland!$A$4:$P$57,34, FALSE)</f>
        <v>0</v>
      </c>
      <c r="D23" s="23">
        <f>+HLOOKUP([57]INPUT_Date.Etc!$B$4,[57]WorcesterCounty!$A$4:$P$57,34, FALSE)</f>
        <v>0</v>
      </c>
      <c r="E23" s="23">
        <f>+HLOOKUP([57]INPUT_Date.Etc!$B$4,[57]CFG!$A$4:$P$57,34, FALSE)</f>
        <v>0</v>
      </c>
      <c r="F23" s="22">
        <f>+HLOOKUP([57]INPUT_Date.Etc!$B$4,[57]FPUNG!$A$4:$P$116,91, FALSE)</f>
        <v>0</v>
      </c>
      <c r="G23" s="22">
        <f>+HLOOKUP([57]INPUT_Date.Etc!$B$4,[57]Electric!$A$4:$P$43,27, FALSE)</f>
        <v>0</v>
      </c>
      <c r="H23" s="22">
        <v>0</v>
      </c>
      <c r="I23" s="23"/>
      <c r="J23" s="22">
        <f>+HLOOKUP([57]INPUT_Date.Etc!$B$4,[57]Delaware!$T$4:$AI$52,34, FALSE)</f>
        <v>7</v>
      </c>
      <c r="K23" s="22">
        <f>+HLOOKUP([57]INPUT_Date.Etc!$B$4,[57]Maryland!$T$4:$AI$52,34, FALSE)</f>
        <v>0</v>
      </c>
      <c r="L23" s="22">
        <f>+HLOOKUP([57]INPUT_Date.Etc!$B$4,[57]CFG!$T$4:$AI$52,34, FALSE)</f>
        <v>0</v>
      </c>
      <c r="M23" s="22">
        <f>+HLOOKUP([57]INPUT_Date.Etc!$B$4,[57]FPUNG!$A$4:$P$116,91, FALSE)</f>
        <v>0</v>
      </c>
      <c r="N23" s="22">
        <f>+HLOOKUP([57]INPUT_Date.Etc!$B$4,[57]Electric!$T$4:$AI$43,27, FALSE)</f>
        <v>0</v>
      </c>
      <c r="O23" s="22">
        <v>0</v>
      </c>
    </row>
    <row r="24" spans="1:15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+HLOOKUP([57]INPUT_Date.Etc!$B$4,[57]ESNG!$A$4:$P$72,41, FALSE)</f>
        <v>-3</v>
      </c>
      <c r="I24" s="23"/>
      <c r="J24" s="22">
        <v>0</v>
      </c>
      <c r="K24" s="22">
        <v>0</v>
      </c>
      <c r="L24" s="22">
        <v>0</v>
      </c>
      <c r="M24" s="24">
        <v>0</v>
      </c>
      <c r="N24" s="22">
        <v>0</v>
      </c>
      <c r="O24" s="22">
        <f>+HLOOKUP([57]INPUT_Date.Etc!$B$4,[57]ESNG!$T$4:$AI$58,41, FALSE)</f>
        <v>-3</v>
      </c>
    </row>
    <row r="25" spans="1:15" ht="13.8" thickBot="1" x14ac:dyDescent="0.3">
      <c r="A25" s="26" t="s">
        <v>27</v>
      </c>
      <c r="B25" s="27">
        <f t="shared" ref="B25:H25" si="2">SUM(B19:B24)</f>
        <v>47135</v>
      </c>
      <c r="C25" s="27">
        <f t="shared" si="2"/>
        <v>12804</v>
      </c>
      <c r="D25" s="27">
        <f t="shared" si="2"/>
        <v>10722</v>
      </c>
      <c r="E25" s="27">
        <f t="shared" si="2"/>
        <v>16283</v>
      </c>
      <c r="F25" s="27">
        <f t="shared" si="2"/>
        <v>57928</v>
      </c>
      <c r="G25" s="27">
        <f t="shared" si="2"/>
        <v>31430</v>
      </c>
      <c r="H25" s="27">
        <f t="shared" si="2"/>
        <v>16</v>
      </c>
      <c r="I25" s="23"/>
      <c r="J25" s="27">
        <f t="shared" ref="J25:O25" si="3">SUM(J19:J24)</f>
        <v>45206</v>
      </c>
      <c r="K25" s="27">
        <f t="shared" si="3"/>
        <v>12755</v>
      </c>
      <c r="L25" s="27">
        <f t="shared" si="3"/>
        <v>15835</v>
      </c>
      <c r="M25" s="27">
        <f t="shared" si="3"/>
        <v>56524</v>
      </c>
      <c r="N25" s="27">
        <f t="shared" si="3"/>
        <v>31272</v>
      </c>
      <c r="O25" s="27">
        <f t="shared" si="3"/>
        <v>15.5</v>
      </c>
    </row>
    <row r="26" spans="1:15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</row>
    <row r="30" spans="1:15" ht="13.8" x14ac:dyDescent="0.3">
      <c r="A30" s="30"/>
    </row>
    <row r="31" spans="1:15" ht="13.8" x14ac:dyDescent="0.3">
      <c r="A31" s="30"/>
    </row>
    <row r="32" spans="1:15" x14ac:dyDescent="0.25">
      <c r="A32" s="10"/>
    </row>
  </sheetData>
  <pageMargins left="0.45" right="0.45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3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4" sqref="E14:F14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6" width="13.44140625" style="12" customWidth="1"/>
    <col min="17" max="16384" width="9.10937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+[58]INPUT_Date.Etc!B7</f>
        <v>For the Twelve Months ended December 31, 2016 and 2015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+VLOOKUP([58]INPUT_Date.Etc!$B$4,[58]INPUT_Date.Etc!$A$14:$P$25,[58]INPUT_Date.Etc!$I$12)</f>
        <v>Actual customers for the Month of December 2016</v>
      </c>
      <c r="E6" s="16"/>
      <c r="F6" s="17"/>
      <c r="K6" s="15" t="str">
        <f>+VLOOKUP([58]INPUT_Date.Etc!$B$4,[58]INPUT_Date.Etc!$A$14:$P$25,[58]INPUT_Date.Etc!$J$12)</f>
        <v>Actual customers for the Month of December 2015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+HLOOKUP([58]INPUT_Date.Etc!$B$4,[58]Delaware!$A$4:$P$57,2, FALSE)</f>
        <v>47091</v>
      </c>
      <c r="C8" s="22">
        <f>+HLOOKUP([58]INPUT_Date.Etc!$B$4,[58]Maryland!$A$4:$P$57,2, FALSE)</f>
        <v>11120</v>
      </c>
      <c r="D8" s="22">
        <f>+HLOOKUP([58]INPUT_Date.Etc!$B$4,[58]WorcesterCounty!$A$4:$P$57,2, FALSE)</f>
        <v>9562</v>
      </c>
      <c r="E8" s="22">
        <f>+HLOOKUP([58]INPUT_Date.Etc!$B$4,[58]CFG!$A$4:$P$57,2, FALSE)</f>
        <v>15547</v>
      </c>
      <c r="F8" s="22">
        <f>+HLOOKUP([58]INPUT_Date.Etc!$B$4,[58]FPUNG!$A$4:$P$116,2, FALSE)</f>
        <v>53743</v>
      </c>
      <c r="G8" s="22">
        <f>+HLOOKUP([58]INPUT_Date.Etc!$B$4,[58]Electric!$A$4:$P$43,2, FALSE)</f>
        <v>24345</v>
      </c>
      <c r="H8" s="22">
        <v>0</v>
      </c>
      <c r="I8" s="23"/>
      <c r="J8" s="22">
        <f>+HLOOKUP([58]INPUT_Date.Etc!$B$4,[58]Delaware!$T$4:$AI$52,2, FALSE)</f>
        <v>44550</v>
      </c>
      <c r="K8" s="22">
        <f>+HLOOKUP([58]INPUT_Date.Etc!$B$4,[58]Maryland!$T$4:$AI$52,2, FALSE)</f>
        <v>11118</v>
      </c>
      <c r="L8" s="22">
        <f>+HLOOKUP([58]INPUT_Date.Etc!$B$4,[58]WorcesterCounty!$T$4:$AI$52,2, FALSE)</f>
        <v>9580</v>
      </c>
      <c r="M8" s="22">
        <f>+HLOOKUP([58]INPUT_Date.Etc!$B$4,[58]CFG!$T$4:$AI$52,2, FALSE)</f>
        <v>15093</v>
      </c>
      <c r="N8" s="22">
        <f>+HLOOKUP([58]INPUT_Date.Etc!$B$4,[58]FPUNG!$T$4:$AI$116,2, FALSE)</f>
        <v>52655</v>
      </c>
      <c r="O8" s="22">
        <f>+HLOOKUP([58]INPUT_Date.Etc!$B$4,[58]Electric!$T$4:$AI$43,2, FALSE)</f>
        <v>24109</v>
      </c>
      <c r="P8" s="22">
        <v>0</v>
      </c>
    </row>
    <row r="9" spans="1:18" x14ac:dyDescent="0.25">
      <c r="A9" s="12" t="s">
        <v>18</v>
      </c>
      <c r="B9" s="22">
        <f>+HLOOKUP([58]INPUT_Date.Etc!$B$4,[58]Delaware!$A$4:$P$57,3, FALSE)</f>
        <v>3945</v>
      </c>
      <c r="C9" s="22">
        <f>+HLOOKUP([58]INPUT_Date.Etc!$B$4,[58]Maryland!$A$4:$P$57,3, FALSE)</f>
        <v>1850</v>
      </c>
      <c r="D9" s="22">
        <f>+HLOOKUP([58]INPUT_Date.Etc!$B$4,[58]WorcesterCounty!$A$4:$P$57,3, FALSE)</f>
        <v>1029</v>
      </c>
      <c r="E9" s="22">
        <f>+HLOOKUP([58]INPUT_Date.Etc!$B$4,[58]CFG!$A$4:$P$57,3, FALSE)</f>
        <v>1401</v>
      </c>
      <c r="F9" s="22">
        <f>+HLOOKUP([58]INPUT_Date.Etc!$B$4,[58]FPUNG!$A$4:$P$116,3, FALSE)</f>
        <v>4213</v>
      </c>
      <c r="G9" s="22">
        <f>+HLOOKUP([58]INPUT_Date.Etc!$B$4,[58]Electric!$A$4:$P$43,3, FALSE)</f>
        <v>7428</v>
      </c>
      <c r="H9" s="22">
        <f>+HLOOKUP([58]INPUT_Date.Etc!$B$4,[58]ESNG!$E$4:$P$11,3, FALSE)</f>
        <v>0</v>
      </c>
      <c r="I9" s="23"/>
      <c r="J9" s="22">
        <f>+HLOOKUP([58]INPUT_Date.Etc!$B$4,[58]Delaware!$T$4:$AI$52,3, FALSE)</f>
        <v>3845</v>
      </c>
      <c r="K9" s="22">
        <f>+HLOOKUP([58]INPUT_Date.Etc!$B$4,[58]Maryland!$T$4:$AI$52,3, FALSE)</f>
        <v>1830</v>
      </c>
      <c r="L9" s="22">
        <f>+HLOOKUP([58]INPUT_Date.Etc!$B$4,[58]WorcesterCounty!$T$4:$AI$52,3, FALSE)</f>
        <v>1034</v>
      </c>
      <c r="M9" s="22">
        <f>+HLOOKUP([58]INPUT_Date.Etc!$B$4,[58]CFG!$T$4:$AI$52,3, FALSE)</f>
        <v>1395</v>
      </c>
      <c r="N9" s="22">
        <f>+HLOOKUP([58]INPUT_Date.Etc!$B$4,[58]FPUNG!$T$4:$AI$116,3, FALSE)</f>
        <v>4229</v>
      </c>
      <c r="O9" s="22">
        <f>+HLOOKUP([58]INPUT_Date.Etc!$B$4,[58]Electric!$T$4:$AI$43,3, FALSE)</f>
        <v>7383</v>
      </c>
      <c r="P9" s="22">
        <v>0</v>
      </c>
    </row>
    <row r="10" spans="1:18" x14ac:dyDescent="0.25">
      <c r="A10" s="12" t="s">
        <v>19</v>
      </c>
      <c r="B10" s="22">
        <f>+HLOOKUP([58]INPUT_Date.Etc!$B$4,[58]Delaware!$A$4:$P$57,4, FALSE)</f>
        <v>86</v>
      </c>
      <c r="C10" s="22">
        <f>+HLOOKUP([58]INPUT_Date.Etc!$B$4,[58]Maryland!$A$4:$P$57,4, FALSE)</f>
        <v>40</v>
      </c>
      <c r="D10" s="22">
        <f>+HLOOKUP([58]INPUT_Date.Etc!$B$4,[58]WorcesterCounty!$A$4:$P$57,4, FALSE)</f>
        <v>11</v>
      </c>
      <c r="E10" s="22">
        <f>+HLOOKUP([58]INPUT_Date.Etc!$B$4,[58]CFG!$A$4:$P$57,4, FALSE)</f>
        <v>76</v>
      </c>
      <c r="F10" s="22">
        <f>+HLOOKUP([58]INPUT_Date.Etc!$B$4,[58]FPUNG!$A$4:$P$116,4, FALSE)</f>
        <v>1879</v>
      </c>
      <c r="G10" s="22">
        <f>+HLOOKUP([58]INPUT_Date.Etc!$B$4,[58]Electric!$A$4:$P$43,4, FALSE)</f>
        <v>2</v>
      </c>
      <c r="H10" s="22">
        <v>0</v>
      </c>
      <c r="I10" s="23"/>
      <c r="J10" s="22">
        <f>+HLOOKUP([58]INPUT_Date.Etc!$B$4,[58]Delaware!$T$4:$AI$52,4, FALSE)</f>
        <v>80</v>
      </c>
      <c r="K10" s="22">
        <f>+HLOOKUP([58]INPUT_Date.Etc!$B$4,[58]Maryland!$T$4:$AI$52,4, FALSE)</f>
        <v>38</v>
      </c>
      <c r="L10" s="22">
        <f>+HLOOKUP([58]INPUT_Date.Etc!$B$4,[58]WorcesterCounty!$T$4:$AI$52,4, FALSE)</f>
        <v>4</v>
      </c>
      <c r="M10" s="22">
        <f>+HLOOKUP([58]INPUT_Date.Etc!$B$4,[58]CFG!$T$4:$AI$52,4, FALSE)</f>
        <v>71</v>
      </c>
      <c r="N10" s="22">
        <f>+HLOOKUP([58]INPUT_Date.Etc!$B$4,[58]FPUNG!$T$4:$AI$116,4, FALSE)</f>
        <v>1717</v>
      </c>
      <c r="O10" s="22">
        <f>+HLOOKUP([58]INPUT_Date.Etc!$B$4,[58]Electric!$T$4:$AI$43,4,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+HLOOKUP([58]INPUT_Date.Etc!$B$4,[58]ESNG!$A$4:$P$72,4, FALSE)</f>
        <v>17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+HLOOKUP([58]INPUT_Date.Etc!$B$4,[58]ESNG!$T$4:$AI$58,4, FALSE)</f>
        <v>17</v>
      </c>
    </row>
    <row r="12" spans="1:18" x14ac:dyDescent="0.25">
      <c r="A12" s="10" t="s">
        <v>21</v>
      </c>
      <c r="B12" s="22">
        <f>+HLOOKUP([58]INPUT_Date.Etc!$B$4,[58]Delaware!$A$4:$P$57,5, FALSE)</f>
        <v>5</v>
      </c>
      <c r="C12" s="22">
        <f>+HLOOKUP([58]INPUT_Date.Etc!$B$4,[58]Maryland!$A$4:$P$57,5, FALSE)</f>
        <v>0</v>
      </c>
      <c r="D12" s="22">
        <f>+HLOOKUP([58]INPUT_Date.Etc!$B$4,[58]WorcesterCounty!$A$4:$P$57,5, FALSE)</f>
        <v>0</v>
      </c>
      <c r="E12" s="22">
        <f>+HLOOKUP([58]INPUT_Date.Etc!$B$4,[58]CFG!$A$4:$P$57,5, FALSE)</f>
        <v>0</v>
      </c>
      <c r="F12" s="22">
        <f>+HLOOKUP([58]INPUT_Date.Etc!$B$4,[58]FPUNG!$A$4:$P$116,5, FALSE)</f>
        <v>0</v>
      </c>
      <c r="G12" s="22">
        <f>+HLOOKUP([58]INPUT_Date.Etc!$B$4,[58]Electric!$A$4:$P$43,5, FALSE)</f>
        <v>0</v>
      </c>
      <c r="H12" s="22">
        <v>0</v>
      </c>
      <c r="I12" s="23"/>
      <c r="J12" s="22">
        <f>+HLOOKUP([58]INPUT_Date.Etc!$B$4,[58]Delaware!$T$4:$AI$52,5, FALSE)</f>
        <v>4</v>
      </c>
      <c r="K12" s="22">
        <f>+HLOOKUP([58]INPUT_Date.Etc!$B$4,[58]Maryland!$T$4:$AI$52,5, FALSE)</f>
        <v>0</v>
      </c>
      <c r="L12" s="22">
        <f>+HLOOKUP([58]INPUT_Date.Etc!$B$4,[58]WorcesterCounty!$A$4:$P$57,5, FALSE)</f>
        <v>0</v>
      </c>
      <c r="M12" s="22">
        <f>+HLOOKUP([58]INPUT_Date.Etc!$B$4,[58]CFG!$T$4:$AI$52,5, FALSE)</f>
        <v>0</v>
      </c>
      <c r="N12" s="22">
        <f>+HLOOKUP([58]INPUT_Date.Etc!$B$4,[58]FPUNG!$A$4:$P$116,5, FALSE)</f>
        <v>0</v>
      </c>
      <c r="O12" s="22">
        <f>+HLOOKUP([58]INPUT_Date.Etc!$B$4,[58]Electric!$T$4:$AI$43,5,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+[58]Delaware!N10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+HLOOKUP([58]INPUT_Date.Etc!$B$4,[58]ESNG!$A$4:$P$72,5, FALSE)</f>
        <v>-3</v>
      </c>
      <c r="I13" s="23"/>
      <c r="J13" s="22">
        <f>+[58]Delaware!V10</f>
        <v>0</v>
      </c>
      <c r="K13" s="22">
        <f>+[58]Maryland!W10</f>
        <v>0</v>
      </c>
      <c r="L13" s="22">
        <v>0</v>
      </c>
      <c r="M13" s="22">
        <f>+[58]CFG!Y10</f>
        <v>0</v>
      </c>
      <c r="N13" s="24">
        <v>0</v>
      </c>
      <c r="O13" s="22">
        <v>0</v>
      </c>
      <c r="P13" s="22">
        <f>+HLOOKUP([58]INPUT_Date.Etc!$B$4,[58]ESNG!$T$4:$AI$58,5, FALSE)</f>
        <v>-3</v>
      </c>
    </row>
    <row r="14" spans="1:18" ht="13.8" thickBot="1" x14ac:dyDescent="0.3">
      <c r="A14" s="26" t="s">
        <v>23</v>
      </c>
      <c r="B14" s="27">
        <f t="shared" ref="B14:H14" si="0">SUM(B8:B13)</f>
        <v>51127</v>
      </c>
      <c r="C14" s="27">
        <f t="shared" si="0"/>
        <v>13010</v>
      </c>
      <c r="D14" s="27">
        <f t="shared" si="0"/>
        <v>10602</v>
      </c>
      <c r="E14" s="27">
        <f t="shared" si="0"/>
        <v>17024</v>
      </c>
      <c r="F14" s="27">
        <f t="shared" si="0"/>
        <v>59835</v>
      </c>
      <c r="G14" s="27">
        <f t="shared" si="0"/>
        <v>31775</v>
      </c>
      <c r="H14" s="27">
        <f t="shared" si="0"/>
        <v>14</v>
      </c>
      <c r="I14" s="23"/>
      <c r="J14" s="27">
        <f t="shared" ref="J14:P14" si="1">SUM(J8:J13)</f>
        <v>48479</v>
      </c>
      <c r="K14" s="27">
        <f t="shared" si="1"/>
        <v>12986</v>
      </c>
      <c r="L14" s="27">
        <f>SUM(L8:L13)</f>
        <v>10618</v>
      </c>
      <c r="M14" s="27">
        <f t="shared" si="1"/>
        <v>16559</v>
      </c>
      <c r="N14" s="27">
        <f t="shared" si="1"/>
        <v>58601</v>
      </c>
      <c r="O14" s="27">
        <f t="shared" si="1"/>
        <v>31494</v>
      </c>
      <c r="P14" s="27">
        <f t="shared" si="1"/>
        <v>14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+VLOOKUP([58]INPUT_Date.Etc!$B$4,[58]INPUT_Date.Etc!$A$14:$P$25,[58]INPUT_Date.Etc!$K$12)</f>
        <v>Average customers for the Twelve Months ended December 31, 2016</v>
      </c>
      <c r="E17" s="28"/>
      <c r="F17" s="28"/>
      <c r="G17" s="28"/>
      <c r="H17" s="23"/>
      <c r="I17" s="23"/>
      <c r="J17" s="23"/>
      <c r="K17" s="15" t="str">
        <f>+VLOOKUP([58]INPUT_Date.Etc!$B$4,[58]INPUT_Date.Etc!$A$14:$P$25,[58]INPUT_Date.Etc!$L$12)</f>
        <v>Average customers for the Twelve Months ended December 31, 2015</v>
      </c>
      <c r="L17" s="15" t="str">
        <f>+VLOOKUP([58]INPUT_Date.Etc!$B$4,[58]INPUT_Date.Etc!$A$14:$P$25,[58]INPUT_Date.Etc!$K$12)</f>
        <v>Average customers for the Twelve Months ended December 31, 2016</v>
      </c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+HLOOKUP([58]INPUT_Date.Etc!$B$4,[58]Delaware!$A$4:$P$57,31, FALSE)</f>
        <v>45605</v>
      </c>
      <c r="C19" s="23">
        <f>+HLOOKUP([58]INPUT_Date.Etc!$B$4,[58]Maryland!$A$4:$P$57,31, FALSE)</f>
        <v>11035</v>
      </c>
      <c r="D19" s="23">
        <f>+HLOOKUP([58]INPUT_Date.Etc!$B$4,[58]WorcesterCounty!$A$4:$P$57,31, FALSE)</f>
        <v>9535</v>
      </c>
      <c r="E19" s="23">
        <f>+HLOOKUP([58]INPUT_Date.Etc!$B$4,[58]CFG!$A$4:$P$57,31, FALSE)</f>
        <v>15340</v>
      </c>
      <c r="F19" s="22">
        <f>+HLOOKUP([58]INPUT_Date.Etc!$B$4,[58]FPUNG!$A$4:$P$116,88, FALSE)</f>
        <v>53300</v>
      </c>
      <c r="G19" s="22">
        <f>+HLOOKUP([58]INPUT_Date.Etc!$B$4,[58]Electric!$A$4:$P$43,24, FALSE)</f>
        <v>24289</v>
      </c>
      <c r="H19" s="22">
        <v>0</v>
      </c>
      <c r="I19" s="23"/>
      <c r="J19" s="22">
        <f>+HLOOKUP([58]INPUT_Date.Etc!$B$4,[58]Delaware!$T$4:$AI$52,31, FALSE)</f>
        <v>43285</v>
      </c>
      <c r="K19" s="22">
        <f>+HLOOKUP([58]INPUT_Date.Etc!$B$4,[58]Maryland!$T$4:$AI$52,31, FALSE)</f>
        <v>10967</v>
      </c>
      <c r="L19" s="22">
        <f>+HLOOKUP([58]INPUT_Date.Etc!$B$4,[58]WorcesterCounty!$A$4:$P$57,31, FALSE)</f>
        <v>9535</v>
      </c>
      <c r="M19" s="22">
        <f>+HLOOKUP([58]INPUT_Date.Etc!$B$4,[58]CFG!$T$4:$AI$52,31, FALSE)</f>
        <v>14854</v>
      </c>
      <c r="N19" s="22">
        <f>+HLOOKUP([58]INPUT_Date.Etc!$B$4,[58]FPUNG!$T$4:$AI$116,88, FALSE)</f>
        <v>52046</v>
      </c>
      <c r="O19" s="22">
        <f>+HLOOKUP([58]INPUT_Date.Etc!$B$4,[58]Electric!$T$4:$AI$43,24, FALSE)</f>
        <v>24039</v>
      </c>
      <c r="P19" s="22">
        <v>0</v>
      </c>
    </row>
    <row r="20" spans="1:16" x14ac:dyDescent="0.25">
      <c r="A20" s="12" t="s">
        <v>18</v>
      </c>
      <c r="B20" s="23">
        <f>+HLOOKUP([58]INPUT_Date.Etc!$B$4,[58]Delaware!$A$4:$P$57,32, FALSE)</f>
        <v>3857</v>
      </c>
      <c r="C20" s="23">
        <f>+HLOOKUP([58]INPUT_Date.Etc!$B$4,[58]Maryland!$A$4:$P$57,32, FALSE)</f>
        <v>1827</v>
      </c>
      <c r="D20" s="23">
        <f>+HLOOKUP([58]INPUT_Date.Etc!$B$4,[58]WorcesterCounty!$A$4:$P$57,32, FALSE)</f>
        <v>1062</v>
      </c>
      <c r="E20" s="23">
        <f>+HLOOKUP([58]INPUT_Date.Etc!$B$4,[58]CFG!$A$4:$P$57,32, FALSE)</f>
        <v>1393</v>
      </c>
      <c r="F20" s="22">
        <f>+HLOOKUP([58]INPUT_Date.Etc!$B$4,[58]FPUNG!$A$4:$P$116,89, FALSE)</f>
        <v>4236</v>
      </c>
      <c r="G20" s="22">
        <f>+HLOOKUP([58]INPUT_Date.Etc!$B$4,[58]Electric!$A$4:$P$43,25, FALSE)</f>
        <v>7404</v>
      </c>
      <c r="H20" s="22">
        <f>+HLOOKUP([58]INPUT_Date.Etc!$B$4,[58]ESNG!$E$4:$P$11,3, FALSE)</f>
        <v>0</v>
      </c>
      <c r="I20" s="23"/>
      <c r="J20" s="22">
        <f>+HLOOKUP([58]INPUT_Date.Etc!$B$4,[58]Delaware!$T$4:$AI$52,32, FALSE)</f>
        <v>3768</v>
      </c>
      <c r="K20" s="22">
        <f>+HLOOKUP([58]INPUT_Date.Etc!$B$4,[58]Maryland!$T$4:$AI$52,32, FALSE)</f>
        <v>1800</v>
      </c>
      <c r="L20" s="22">
        <f>+HLOOKUP([58]INPUT_Date.Etc!$B$4,[58]WorcesterCounty!$A$4:$P$57,32, FALSE)</f>
        <v>1062</v>
      </c>
      <c r="M20" s="22">
        <f>+HLOOKUP([58]INPUT_Date.Etc!$B$4,[58]CFG!$T$4:$AI$52,32, FALSE)</f>
        <v>1360</v>
      </c>
      <c r="N20" s="22">
        <f>+HLOOKUP([58]INPUT_Date.Etc!$B$4,[58]FPUNG!$T$4:$AI$116,89, FALSE)</f>
        <v>4249</v>
      </c>
      <c r="O20" s="22">
        <f>+HLOOKUP([58]INPUT_Date.Etc!$B$4,[58]Electric!$T$4:$AI$43,25, FALSE)</f>
        <v>7389</v>
      </c>
      <c r="P20" s="22">
        <v>0</v>
      </c>
    </row>
    <row r="21" spans="1:16" x14ac:dyDescent="0.25">
      <c r="A21" s="12" t="s">
        <v>26</v>
      </c>
      <c r="B21" s="23">
        <f>+HLOOKUP([58]INPUT_Date.Etc!$B$4,[58]Delaware!$A$4:$P$57,33, FALSE)</f>
        <v>81</v>
      </c>
      <c r="C21" s="23">
        <f>+HLOOKUP([58]INPUT_Date.Etc!$B$4,[58]Maryland!$A$4:$P$57,33, FALSE)</f>
        <v>39</v>
      </c>
      <c r="D21" s="23">
        <f>+HLOOKUP([58]INPUT_Date.Etc!$B$4,[58]WorcesterCounty!$A$4:$P$57,33, FALSE)</f>
        <v>5</v>
      </c>
      <c r="E21" s="23">
        <f>+HLOOKUP([58]INPUT_Date.Etc!$B$4,[58]CFG!$A$4:$P$57,33, FALSE)</f>
        <v>73</v>
      </c>
      <c r="F21" s="22">
        <f>+HLOOKUP([58]INPUT_Date.Etc!$B$4,[58]FPUNG!$A$4:$P$116,90, FALSE)</f>
        <v>1786</v>
      </c>
      <c r="G21" s="22">
        <f>+HLOOKUP([58]INPUT_Date.Etc!$B$4,[58]Electric!$A$4:$P$43,26, FALSE)</f>
        <v>2</v>
      </c>
      <c r="H21" s="22">
        <v>0</v>
      </c>
      <c r="I21" s="23"/>
      <c r="J21" s="22">
        <f>+HLOOKUP([58]INPUT_Date.Etc!$B$4,[58]Delaware!$T$4:$AI$52,33, FALSE)</f>
        <v>77</v>
      </c>
      <c r="K21" s="22">
        <f>+HLOOKUP([58]INPUT_Date.Etc!$B$4,[58]Maryland!$T$4:$AI$52,33, FALSE)</f>
        <v>37</v>
      </c>
      <c r="L21" s="22">
        <f>+HLOOKUP([58]INPUT_Date.Etc!$B$4,[58]WorcesterCounty!$A$4:$P$57,33, FALSE)</f>
        <v>5</v>
      </c>
      <c r="M21" s="22">
        <f>+HLOOKUP([58]INPUT_Date.Etc!$B$4,[58]CFG!$T$4:$AI$52,33, FALSE)</f>
        <v>69</v>
      </c>
      <c r="N21" s="22">
        <f>+HLOOKUP([58]INPUT_Date.Etc!$B$4,[58]FPUNG!$T$4:$AI$116,90, FALSE)</f>
        <v>1633</v>
      </c>
      <c r="O21" s="22">
        <f>+HLOOKUP([58]INPUT_Date.Etc!$B$4,[58]Electric!$T$4:$AI$43,26,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+HLOOKUP([58]INPUT_Date.Etc!$B$4,[58]ESNG!$A$4:$P$72,40, FALSE)</f>
        <v>17.916666666666668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+HLOOKUP([58]INPUT_Date.Etc!$B$4,[58]ESNG!$T$4:$AI$58,40, FALSE)</f>
        <v>19</v>
      </c>
    </row>
    <row r="23" spans="1:16" s="10" customFormat="1" x14ac:dyDescent="0.25">
      <c r="A23" s="10" t="s">
        <v>21</v>
      </c>
      <c r="B23" s="23">
        <f>+HLOOKUP([58]INPUT_Date.Etc!$B$4,[58]Delaware!$A$4:$P$57,34, FALSE)</f>
        <v>5</v>
      </c>
      <c r="C23" s="23">
        <f>+HLOOKUP([58]INPUT_Date.Etc!$B$4,[58]Maryland!$A$4:$P$57,34, FALSE)</f>
        <v>0</v>
      </c>
      <c r="D23" s="23">
        <f>+HLOOKUP([58]INPUT_Date.Etc!$B$4,[58]WorcesterCounty!$A$4:$P$57,34, FALSE)</f>
        <v>0</v>
      </c>
      <c r="E23" s="23">
        <f>+HLOOKUP([58]INPUT_Date.Etc!$B$4,[58]CFG!$A$4:$P$57,34, FALSE)</f>
        <v>0</v>
      </c>
      <c r="F23" s="22">
        <f>+HLOOKUP([58]INPUT_Date.Etc!$B$4,[58]FPUNG!$A$4:$P$116,91, FALSE)</f>
        <v>0</v>
      </c>
      <c r="G23" s="22">
        <f>+HLOOKUP([58]INPUT_Date.Etc!$B$4,[58]Electric!$A$4:$P$43,27, FALSE)</f>
        <v>0</v>
      </c>
      <c r="H23" s="22">
        <v>0</v>
      </c>
      <c r="I23" s="23"/>
      <c r="J23" s="22">
        <f>+HLOOKUP([58]INPUT_Date.Etc!$B$4,[58]Delaware!$T$4:$AI$52,34, FALSE)</f>
        <v>5</v>
      </c>
      <c r="K23" s="22">
        <f>+HLOOKUP([58]INPUT_Date.Etc!$B$4,[58]Maryland!$T$4:$AI$52,34, FALSE)</f>
        <v>0</v>
      </c>
      <c r="L23" s="22">
        <f>+HLOOKUP([58]INPUT_Date.Etc!$B$4,[58]WorcesterCounty!$A$4:$P$57,34, FALSE)</f>
        <v>0</v>
      </c>
      <c r="M23" s="22">
        <f>+HLOOKUP([58]INPUT_Date.Etc!$B$4,[58]CFG!$T$4:$AI$52,34, FALSE)</f>
        <v>0</v>
      </c>
      <c r="N23" s="22">
        <f>+HLOOKUP([58]INPUT_Date.Etc!$B$4,[58]FPUNG!$A$4:$P$116,91, FALSE)</f>
        <v>0</v>
      </c>
      <c r="O23" s="22">
        <f>+HLOOKUP([58]INPUT_Date.Etc!$B$4,[58]Electric!$T$4:$AI$43,27,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+HLOOKUP([58]INPUT_Date.Etc!$B$4,[58]ESNG!$A$4:$P$72,41, FALSE)</f>
        <v>-3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+HLOOKUP([58]INPUT_Date.Etc!$B$4,[58]ESNG!$T$4:$AI$58,41, FALSE)</f>
        <v>-3</v>
      </c>
    </row>
    <row r="25" spans="1:16" ht="13.8" thickBot="1" x14ac:dyDescent="0.3">
      <c r="A25" s="26" t="s">
        <v>27</v>
      </c>
      <c r="B25" s="27">
        <f t="shared" ref="B25:H25" si="2">SUM(B19:B24)</f>
        <v>49548</v>
      </c>
      <c r="C25" s="27">
        <f t="shared" si="2"/>
        <v>12901</v>
      </c>
      <c r="D25" s="27">
        <f t="shared" si="2"/>
        <v>10602</v>
      </c>
      <c r="E25" s="27">
        <f t="shared" si="2"/>
        <v>16806</v>
      </c>
      <c r="F25" s="27">
        <f t="shared" si="2"/>
        <v>59322</v>
      </c>
      <c r="G25" s="27">
        <f t="shared" si="2"/>
        <v>31695</v>
      </c>
      <c r="H25" s="27">
        <f t="shared" si="2"/>
        <v>14.916666666666668</v>
      </c>
      <c r="I25" s="23"/>
      <c r="J25" s="27">
        <f t="shared" ref="J25:P25" si="3">SUM(J19:J24)</f>
        <v>47135</v>
      </c>
      <c r="K25" s="27">
        <f t="shared" si="3"/>
        <v>12804</v>
      </c>
      <c r="L25" s="27">
        <f>SUM(L19:L24)</f>
        <v>10602</v>
      </c>
      <c r="M25" s="27">
        <f t="shared" si="3"/>
        <v>16283</v>
      </c>
      <c r="N25" s="27">
        <f t="shared" si="3"/>
        <v>57928</v>
      </c>
      <c r="O25" s="27">
        <f t="shared" si="3"/>
        <v>31430</v>
      </c>
      <c r="P25" s="27">
        <f t="shared" si="3"/>
        <v>16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</row>
  </sheetData>
  <pageMargins left="0.45" right="0.45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4" sqref="E14:F14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6" width="13.44140625" style="12" customWidth="1"/>
    <col min="17" max="16384" width="9.10937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+[59]INPUT_Date.Etc!B7</f>
        <v>For the Twelve Months ended December 31, 2017 and 2016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+VLOOKUP([59]INPUT_Date.Etc!$B$4,[59]INPUT_Date.Etc!$A$14:$P$25,[59]INPUT_Date.Etc!$I$12)</f>
        <v>Actual customers for the Month of December 2017</v>
      </c>
      <c r="E6" s="16"/>
      <c r="F6" s="17"/>
      <c r="K6" s="15" t="str">
        <f>+VLOOKUP([59]INPUT_Date.Etc!$B$4,[59]INPUT_Date.Etc!$A$14:$P$25,[59]INPUT_Date.Etc!$J$12)</f>
        <v>Actual customers for the Month of December 2016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+HLOOKUP([59]INPUT_Date.Etc!$B$4,[59]Delaware!$A$4:$P$57,2, FALSE)</f>
        <v>49714</v>
      </c>
      <c r="C8" s="22">
        <f>+HLOOKUP([59]INPUT_Date.Etc!$B$4,[59]Maryland!$A$4:$P$57,2, FALSE)</f>
        <v>11157</v>
      </c>
      <c r="D8" s="22">
        <f>+HLOOKUP([59]INPUT_Date.Etc!$B$4,[59]WorcesterCounty!$A$4:$P$57,2, FALSE)</f>
        <v>9599</v>
      </c>
      <c r="E8" s="22">
        <f>+HLOOKUP([59]INPUT_Date.Etc!$B$4,[59]CFG!$A$4:$P$57,2, FALSE)</f>
        <v>16052</v>
      </c>
      <c r="F8" s="22">
        <f>+HLOOKUP([59]INPUT_Date.Etc!$B$4,[59]FPUNG!$A$4:$P$116,2, FALSE)</f>
        <v>54901</v>
      </c>
      <c r="G8" s="22">
        <f>+HLOOKUP([59]INPUT_Date.Etc!$B$4,[59]Electric!$A$4:$P$45,2, FALSE)</f>
        <v>24634</v>
      </c>
      <c r="H8" s="22">
        <v>0</v>
      </c>
      <c r="I8" s="23"/>
      <c r="J8" s="22">
        <f>+HLOOKUP([59]INPUT_Date.Etc!$B$4,[59]Delaware!$T$4:$AI$52,2, FALSE)</f>
        <v>47091</v>
      </c>
      <c r="K8" s="22">
        <f>+HLOOKUP([59]INPUT_Date.Etc!$B$4,[59]Maryland!$T$4:$AI$52,2, FALSE)</f>
        <v>11120</v>
      </c>
      <c r="L8" s="22">
        <f>+HLOOKUP([59]INPUT_Date.Etc!$B$4,[59]WorcesterCounty!$T$4:$AI$52,2, FALSE)</f>
        <v>9562</v>
      </c>
      <c r="M8" s="22">
        <f>+HLOOKUP([59]INPUT_Date.Etc!$B$4,[59]CFG!$T$4:$AI$52,2, FALSE)</f>
        <v>15547</v>
      </c>
      <c r="N8" s="22">
        <f>+HLOOKUP([59]INPUT_Date.Etc!$B$4,[59]FPUNG!$T$4:$AI$116,2, FALSE)</f>
        <v>53743</v>
      </c>
      <c r="O8" s="22">
        <f>+HLOOKUP([59]INPUT_Date.Etc!$B$4,[59]Electric!$T$4:$AI$45,2, FALSE)</f>
        <v>24345</v>
      </c>
      <c r="P8" s="22">
        <v>0</v>
      </c>
    </row>
    <row r="9" spans="1:18" x14ac:dyDescent="0.25">
      <c r="A9" s="12" t="s">
        <v>18</v>
      </c>
      <c r="B9" s="22">
        <f>+HLOOKUP([59]INPUT_Date.Etc!$B$4,[59]Delaware!$A$4:$P$57,3, FALSE)</f>
        <v>4022</v>
      </c>
      <c r="C9" s="22">
        <f>+HLOOKUP([59]INPUT_Date.Etc!$B$4,[59]Maryland!$A$4:$P$57,3, FALSE)</f>
        <v>1887</v>
      </c>
      <c r="D9" s="22">
        <f>+HLOOKUP([59]INPUT_Date.Etc!$B$4,[59]WorcesterCounty!$A$4:$P$57,3, FALSE)</f>
        <v>1038</v>
      </c>
      <c r="E9" s="22">
        <f>+HLOOKUP([59]INPUT_Date.Etc!$B$4,[59]CFG!$A$4:$P$57,3, FALSE)</f>
        <v>1436</v>
      </c>
      <c r="F9" s="22">
        <f>+HLOOKUP([59]INPUT_Date.Etc!$B$4,[59]FPUNG!$A$4:$P$116,3, FALSE)</f>
        <v>3963</v>
      </c>
      <c r="G9" s="22">
        <f>+HLOOKUP([59]INPUT_Date.Etc!$B$4,[59]Electric!$A$4:$P$45,3, FALSE)</f>
        <v>7465</v>
      </c>
      <c r="H9" s="22">
        <f>+HLOOKUP([59]INPUT_Date.Etc!$B$4,[59]ESNG!$E$4:$P$11,3, FALSE)</f>
        <v>0</v>
      </c>
      <c r="I9" s="23"/>
      <c r="J9" s="22">
        <f>+HLOOKUP([59]INPUT_Date.Etc!$B$4,[59]Delaware!$T$4:$AI$52,3, FALSE)</f>
        <v>3945</v>
      </c>
      <c r="K9" s="22">
        <f>+HLOOKUP([59]INPUT_Date.Etc!$B$4,[59]Maryland!$T$4:$AI$52,3, FALSE)</f>
        <v>1850</v>
      </c>
      <c r="L9" s="22">
        <f>+HLOOKUP([59]INPUT_Date.Etc!$B$4,[59]WorcesterCounty!$T$4:$AI$52,3, FALSE)</f>
        <v>1029</v>
      </c>
      <c r="M9" s="22">
        <f>+HLOOKUP([59]INPUT_Date.Etc!$B$4,[59]CFG!$T$4:$AI$52,3, FALSE)</f>
        <v>1401</v>
      </c>
      <c r="N9" s="22">
        <f>+HLOOKUP([59]INPUT_Date.Etc!$B$4,[59]FPUNG!$T$4:$AI$116,3, FALSE)</f>
        <v>4213</v>
      </c>
      <c r="O9" s="22">
        <f>+HLOOKUP([59]INPUT_Date.Etc!$B$4,[59]Electric!$T$4:$AI$45,3, FALSE)</f>
        <v>7428</v>
      </c>
      <c r="P9" s="22">
        <v>0</v>
      </c>
    </row>
    <row r="10" spans="1:18" x14ac:dyDescent="0.25">
      <c r="A10" s="12" t="s">
        <v>19</v>
      </c>
      <c r="B10" s="22">
        <f>+HLOOKUP([59]INPUT_Date.Etc!$B$4,[59]Delaware!$A$4:$P$57,4, FALSE)</f>
        <v>95</v>
      </c>
      <c r="C10" s="22">
        <f>+HLOOKUP([59]INPUT_Date.Etc!$B$4,[59]Maryland!$A$4:$P$57,4, FALSE)</f>
        <v>44</v>
      </c>
      <c r="D10" s="22">
        <f>+HLOOKUP([59]INPUT_Date.Etc!$B$4,[59]WorcesterCounty!$A$4:$P$57,4, FALSE)</f>
        <v>21</v>
      </c>
      <c r="E10" s="22">
        <f>+HLOOKUP([59]INPUT_Date.Etc!$B$4,[59]CFG!$A$4:$P$57,4, FALSE)</f>
        <v>81</v>
      </c>
      <c r="F10" s="22">
        <f>+HLOOKUP([59]INPUT_Date.Etc!$B$4,[59]FPUNG!$A$4:$P$116,4, FALSE)</f>
        <v>2207</v>
      </c>
      <c r="G10" s="22">
        <f>+HLOOKUP([59]INPUT_Date.Etc!$B$4,[59]Electric!$A$4:$P$45,4, FALSE)</f>
        <v>2</v>
      </c>
      <c r="H10" s="22">
        <v>0</v>
      </c>
      <c r="I10" s="23"/>
      <c r="J10" s="22">
        <f>+HLOOKUP([59]INPUT_Date.Etc!$B$4,[59]Delaware!$T$4:$AI$52,4, FALSE)</f>
        <v>86</v>
      </c>
      <c r="K10" s="22">
        <f>+HLOOKUP([59]INPUT_Date.Etc!$B$4,[59]Maryland!$T$4:$AI$52,4, FALSE)</f>
        <v>40</v>
      </c>
      <c r="L10" s="22">
        <f>+HLOOKUP([59]INPUT_Date.Etc!$B$4,[59]WorcesterCounty!$T$4:$AI$52,4, FALSE)</f>
        <v>11</v>
      </c>
      <c r="M10" s="22">
        <f>+HLOOKUP([59]INPUT_Date.Etc!$B$4,[59]CFG!$T$4:$AI$52,4, FALSE)</f>
        <v>76</v>
      </c>
      <c r="N10" s="22">
        <f>+HLOOKUP([59]INPUT_Date.Etc!$B$4,[59]FPUNG!$T$4:$AI$116,4, FALSE)</f>
        <v>1879</v>
      </c>
      <c r="O10" s="22">
        <f>+HLOOKUP([59]INPUT_Date.Etc!$B$4,[59]Electric!$T$4:$AI$45,4,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+HLOOKUP([59]INPUT_Date.Etc!$B$4,[59]ESNG!$A$4:$P$72,4, FALSE)</f>
        <v>17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+HLOOKUP([59]INPUT_Date.Etc!$B$4,[59]ESNG!$T$4:$AI$58,4, FALSE)</f>
        <v>17</v>
      </c>
    </row>
    <row r="12" spans="1:18" x14ac:dyDescent="0.25">
      <c r="A12" s="10" t="s">
        <v>21</v>
      </c>
      <c r="B12" s="22">
        <f>+HLOOKUP([59]INPUT_Date.Etc!$B$4,[59]Delaware!$A$4:$P$57,5, FALSE)</f>
        <v>6</v>
      </c>
      <c r="C12" s="22">
        <f>+HLOOKUP([59]INPUT_Date.Etc!$B$4,[59]Maryland!$A$4:$P$57,5, FALSE)</f>
        <v>0</v>
      </c>
      <c r="D12" s="22">
        <f>+HLOOKUP([59]INPUT_Date.Etc!$B$4,[59]WorcesterCounty!$A$4:$P$57,5, FALSE)</f>
        <v>0</v>
      </c>
      <c r="E12" s="22">
        <f>+HLOOKUP([59]INPUT_Date.Etc!$B$4,[59]CFG!$A$4:$P$57,5, FALSE)</f>
        <v>0</v>
      </c>
      <c r="F12" s="22">
        <f>+HLOOKUP([59]INPUT_Date.Etc!$B$4,[59]FPUNG!$A$4:$P$116,5, FALSE)</f>
        <v>10</v>
      </c>
      <c r="G12" s="22">
        <f>+HLOOKUP([59]INPUT_Date.Etc!$B$4,[59]Electric!$A$4:$P$45,5, FALSE)</f>
        <v>0</v>
      </c>
      <c r="H12" s="22">
        <v>0</v>
      </c>
      <c r="I12" s="23"/>
      <c r="J12" s="22">
        <f>+HLOOKUP([59]INPUT_Date.Etc!$B$4,[59]Delaware!$T$4:$AI$52,5, FALSE)</f>
        <v>5</v>
      </c>
      <c r="K12" s="22">
        <f>+HLOOKUP([59]INPUT_Date.Etc!$B$4,[59]Maryland!$T$4:$AI$52,5, FALSE)</f>
        <v>0</v>
      </c>
      <c r="L12" s="22">
        <f>+HLOOKUP([59]INPUT_Date.Etc!$B$4,[59]WorcesterCounty!$A$4:$P$57,5, FALSE)</f>
        <v>0</v>
      </c>
      <c r="M12" s="22">
        <f>+HLOOKUP([59]INPUT_Date.Etc!$B$4,[59]CFG!$T$4:$AI$52,5, FALSE)</f>
        <v>0</v>
      </c>
      <c r="N12" s="22">
        <f>+HLOOKUP([59]INPUT_Date.Etc!$B$4,[59]FPUNG!$A$4:$P$116,5, FALSE)</f>
        <v>10</v>
      </c>
      <c r="O12" s="22">
        <f>+HLOOKUP([59]INPUT_Date.Etc!$B$4,[59]Electric!$T$4:$AI$45,5,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+[59]Delaware!N10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+HLOOKUP([59]INPUT_Date.Etc!$B$4,[59]ESNG!$A$4:$P$72,5, FALSE)</f>
        <v>-3</v>
      </c>
      <c r="I13" s="23"/>
      <c r="J13" s="22">
        <f>+[59]Delaware!V10</f>
        <v>0</v>
      </c>
      <c r="K13" s="22">
        <f>+[59]Maryland!W10</f>
        <v>0</v>
      </c>
      <c r="L13" s="22">
        <v>0</v>
      </c>
      <c r="M13" s="22">
        <f>+[59]CFG!Y10</f>
        <v>0</v>
      </c>
      <c r="N13" s="24">
        <v>0</v>
      </c>
      <c r="O13" s="22">
        <v>0</v>
      </c>
      <c r="P13" s="22">
        <f>+HLOOKUP([59]INPUT_Date.Etc!$B$4,[59]ESNG!$T$4:$AI$58,5, FALSE)</f>
        <v>-3</v>
      </c>
    </row>
    <row r="14" spans="1:18" ht="13.8" thickBot="1" x14ac:dyDescent="0.3">
      <c r="A14" s="26" t="s">
        <v>23</v>
      </c>
      <c r="B14" s="27">
        <f t="shared" ref="B14:H14" si="0">SUM(B8:B13)</f>
        <v>53837</v>
      </c>
      <c r="C14" s="27">
        <f t="shared" si="0"/>
        <v>13088</v>
      </c>
      <c r="D14" s="27">
        <f t="shared" si="0"/>
        <v>10658</v>
      </c>
      <c r="E14" s="27">
        <f t="shared" si="0"/>
        <v>17569</v>
      </c>
      <c r="F14" s="27">
        <f t="shared" si="0"/>
        <v>61081</v>
      </c>
      <c r="G14" s="27">
        <f t="shared" si="0"/>
        <v>32101</v>
      </c>
      <c r="H14" s="27">
        <f t="shared" si="0"/>
        <v>14</v>
      </c>
      <c r="I14" s="23"/>
      <c r="J14" s="27">
        <f t="shared" ref="J14:P14" si="1">SUM(J8:J13)</f>
        <v>51127</v>
      </c>
      <c r="K14" s="27">
        <f t="shared" si="1"/>
        <v>13010</v>
      </c>
      <c r="L14" s="27">
        <f>SUM(L8:L13)</f>
        <v>10602</v>
      </c>
      <c r="M14" s="27">
        <f t="shared" si="1"/>
        <v>17024</v>
      </c>
      <c r="N14" s="27">
        <f t="shared" si="1"/>
        <v>59845</v>
      </c>
      <c r="O14" s="27">
        <f t="shared" si="1"/>
        <v>31775</v>
      </c>
      <c r="P14" s="27">
        <f t="shared" si="1"/>
        <v>14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+VLOOKUP([59]INPUT_Date.Etc!$B$4,[59]INPUT_Date.Etc!$A$14:$P$25,[59]INPUT_Date.Etc!$K$12)</f>
        <v>Average customers for the Twelve Months ended December 31, 2017</v>
      </c>
      <c r="E17" s="28"/>
      <c r="F17" s="28"/>
      <c r="G17" s="28"/>
      <c r="H17" s="23"/>
      <c r="I17" s="23"/>
      <c r="J17" s="23"/>
      <c r="K17" s="15" t="str">
        <f>+VLOOKUP([59]INPUT_Date.Etc!$B$4,[59]INPUT_Date.Etc!$A$14:$P$25,[59]INPUT_Date.Etc!$L$12)</f>
        <v>Average customers for the Twelve Months ended December 31, 2016</v>
      </c>
      <c r="L17" s="15" t="str">
        <f>+VLOOKUP([59]INPUT_Date.Etc!$B$4,[59]INPUT_Date.Etc!$A$14:$P$25,[59]INPUT_Date.Etc!$K$12)</f>
        <v>Average customers for the Twelve Months ended December 31, 2017</v>
      </c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+HLOOKUP([59]INPUT_Date.Etc!$B$4,[59]Delaware!$A$4:$P$57,31, FALSE)</f>
        <v>48171</v>
      </c>
      <c r="C19" s="23">
        <f>+HLOOKUP([59]INPUT_Date.Etc!$B$4,[59]Maryland!$A$4:$P$57,31, FALSE)</f>
        <v>11000</v>
      </c>
      <c r="D19" s="23">
        <f>+HLOOKUP([59]INPUT_Date.Etc!$B$4,[59]WorcesterCounty!$A$4:$P$57,31, FALSE)</f>
        <v>9528</v>
      </c>
      <c r="E19" s="23">
        <f>+HLOOKUP([59]INPUT_Date.Etc!$B$4,[59]CFG!$A$4:$P$57,31, FALSE)</f>
        <v>15796</v>
      </c>
      <c r="F19" s="22">
        <f>+HLOOKUP([59]INPUT_Date.Etc!$B$4,[59]FPUNG!$A$4:$P$116,88, FALSE)</f>
        <v>54410</v>
      </c>
      <c r="G19" s="22">
        <f>+HLOOKUP([59]INPUT_Date.Etc!$B$4,[59]Electric!$A$4:$P$45,24, FALSE)</f>
        <v>24574</v>
      </c>
      <c r="H19" s="22">
        <v>0</v>
      </c>
      <c r="I19" s="23"/>
      <c r="J19" s="22">
        <f>+HLOOKUP([59]INPUT_Date.Etc!$B$4,[59]Delaware!$T$4:$AI$52,31, FALSE)</f>
        <v>45605</v>
      </c>
      <c r="K19" s="22">
        <f>+HLOOKUP([59]INPUT_Date.Etc!$B$4,[59]Maryland!$T$4:$AI$52,31, FALSE)</f>
        <v>11035</v>
      </c>
      <c r="L19" s="22">
        <f>+HLOOKUP([59]INPUT_Date.Etc!$B$4,[59]WorcesterCounty!$A$4:$P$57,31, FALSE)</f>
        <v>9528</v>
      </c>
      <c r="M19" s="22">
        <f>+HLOOKUP([59]INPUT_Date.Etc!$B$4,[59]CFG!$T$4:$AI$52,31, FALSE)</f>
        <v>15340</v>
      </c>
      <c r="N19" s="22">
        <f>+HLOOKUP([59]INPUT_Date.Etc!$B$4,[59]FPUNG!$T$4:$AI$116,88, FALSE)</f>
        <v>53300</v>
      </c>
      <c r="O19" s="22">
        <f>+HLOOKUP([59]INPUT_Date.Etc!$B$4,[59]Electric!$T$4:$AI$45,24, FALSE)</f>
        <v>24289</v>
      </c>
      <c r="P19" s="22">
        <v>0</v>
      </c>
    </row>
    <row r="20" spans="1:16" x14ac:dyDescent="0.25">
      <c r="A20" s="12" t="s">
        <v>18</v>
      </c>
      <c r="B20" s="23">
        <f>+HLOOKUP([59]INPUT_Date.Etc!$B$4,[59]Delaware!$A$4:$P$57,32, FALSE)</f>
        <v>3941</v>
      </c>
      <c r="C20" s="23">
        <f>+HLOOKUP([59]INPUT_Date.Etc!$B$4,[59]Maryland!$A$4:$P$57,32, FALSE)</f>
        <v>1845</v>
      </c>
      <c r="D20" s="23">
        <f>+HLOOKUP([59]INPUT_Date.Etc!$B$4,[59]WorcesterCounty!$A$4:$P$57,32, FALSE)</f>
        <v>1059</v>
      </c>
      <c r="E20" s="23">
        <f>+HLOOKUP([59]INPUT_Date.Etc!$B$4,[59]CFG!$A$4:$P$57,32, FALSE)</f>
        <v>1421</v>
      </c>
      <c r="F20" s="22">
        <f>+HLOOKUP([59]INPUT_Date.Etc!$B$4,[59]FPUNG!$A$4:$P$116,89, FALSE)</f>
        <v>4054</v>
      </c>
      <c r="G20" s="22">
        <f>+HLOOKUP([59]INPUT_Date.Etc!$B$4,[59]Electric!$A$4:$P$45,25, FALSE)</f>
        <v>7450</v>
      </c>
      <c r="H20" s="22">
        <f>+HLOOKUP([59]INPUT_Date.Etc!$B$4,[59]ESNG!$E$4:$P$11,3, FALSE)</f>
        <v>0</v>
      </c>
      <c r="I20" s="23"/>
      <c r="J20" s="22">
        <f>+HLOOKUP([59]INPUT_Date.Etc!$B$4,[59]Delaware!$T$4:$AI$52,32, FALSE)</f>
        <v>3857</v>
      </c>
      <c r="K20" s="22">
        <f>+HLOOKUP([59]INPUT_Date.Etc!$B$4,[59]Maryland!$T$4:$AI$52,32, FALSE)</f>
        <v>1827</v>
      </c>
      <c r="L20" s="22">
        <f>+HLOOKUP([59]INPUT_Date.Etc!$B$4,[59]WorcesterCounty!$A$4:$P$57,32, FALSE)</f>
        <v>1059</v>
      </c>
      <c r="M20" s="22">
        <f>+HLOOKUP([59]INPUT_Date.Etc!$B$4,[59]CFG!$T$4:$AI$52,32, FALSE)</f>
        <v>1393</v>
      </c>
      <c r="N20" s="22">
        <f>+HLOOKUP([59]INPUT_Date.Etc!$B$4,[59]FPUNG!$T$4:$AI$116,89, FALSE)</f>
        <v>4236</v>
      </c>
      <c r="O20" s="22">
        <f>+HLOOKUP([59]INPUT_Date.Etc!$B$4,[59]Electric!$T$4:$AI$45,25, FALSE)</f>
        <v>7404</v>
      </c>
      <c r="P20" s="22">
        <v>0</v>
      </c>
    </row>
    <row r="21" spans="1:16" x14ac:dyDescent="0.25">
      <c r="A21" s="12" t="s">
        <v>26</v>
      </c>
      <c r="B21" s="23">
        <f>+HLOOKUP([59]INPUT_Date.Etc!$B$4,[59]Delaware!$A$4:$P$57,33, FALSE)</f>
        <v>88</v>
      </c>
      <c r="C21" s="23">
        <f>+HLOOKUP([59]INPUT_Date.Etc!$B$4,[59]Maryland!$A$4:$P$57,33, FALSE)</f>
        <v>41</v>
      </c>
      <c r="D21" s="23">
        <f>+HLOOKUP([59]INPUT_Date.Etc!$B$4,[59]WorcesterCounty!$A$4:$P$57,33, FALSE)</f>
        <v>18</v>
      </c>
      <c r="E21" s="23">
        <f>+HLOOKUP([59]INPUT_Date.Etc!$B$4,[59]CFG!$A$4:$P$57,33, FALSE)</f>
        <v>79</v>
      </c>
      <c r="F21" s="22">
        <f>+HLOOKUP([59]INPUT_Date.Etc!$B$4,[59]FPUNG!$A$4:$P$116,90, FALSE)</f>
        <v>2078</v>
      </c>
      <c r="G21" s="22">
        <f>+HLOOKUP([59]INPUT_Date.Etc!$B$4,[59]Electric!$A$4:$P$45,26, FALSE)</f>
        <v>2</v>
      </c>
      <c r="H21" s="22">
        <v>0</v>
      </c>
      <c r="I21" s="23"/>
      <c r="J21" s="22">
        <f>+HLOOKUP([59]INPUT_Date.Etc!$B$4,[59]Delaware!$T$4:$AI$52,33, FALSE)</f>
        <v>81</v>
      </c>
      <c r="K21" s="22">
        <f>+HLOOKUP([59]INPUT_Date.Etc!$B$4,[59]Maryland!$T$4:$AI$52,33, FALSE)</f>
        <v>39</v>
      </c>
      <c r="L21" s="22">
        <f>+HLOOKUP([59]INPUT_Date.Etc!$B$4,[59]WorcesterCounty!$A$4:$P$57,33, FALSE)</f>
        <v>18</v>
      </c>
      <c r="M21" s="22">
        <f>+HLOOKUP([59]INPUT_Date.Etc!$B$4,[59]CFG!$T$4:$AI$52,33, FALSE)</f>
        <v>73</v>
      </c>
      <c r="N21" s="22">
        <f>+HLOOKUP([59]INPUT_Date.Etc!$B$4,[59]FPUNG!$T$4:$AI$116,90, FALSE)</f>
        <v>1786</v>
      </c>
      <c r="O21" s="22">
        <f>+HLOOKUP([59]INPUT_Date.Etc!$B$4,[59]Electric!$T$4:$AI$45,26,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+HLOOKUP([59]INPUT_Date.Etc!$B$4,[59]ESNG!$A$4:$P$72,40, FALSE)</f>
        <v>17.25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+HLOOKUP([59]INPUT_Date.Etc!$B$4,[59]ESNG!$T$4:$AI$58,40, FALSE)</f>
        <v>17.916666666666668</v>
      </c>
    </row>
    <row r="23" spans="1:16" s="10" customFormat="1" x14ac:dyDescent="0.25">
      <c r="A23" s="10" t="s">
        <v>21</v>
      </c>
      <c r="B23" s="23">
        <f>+HLOOKUP([59]INPUT_Date.Etc!$B$4,[59]Delaware!$A$4:$P$57,34, FALSE)</f>
        <v>5</v>
      </c>
      <c r="C23" s="23">
        <f>+HLOOKUP([59]INPUT_Date.Etc!$B$4,[59]Maryland!$A$4:$P$57,34, FALSE)</f>
        <v>0</v>
      </c>
      <c r="D23" s="23">
        <f>+HLOOKUP([59]INPUT_Date.Etc!$B$4,[59]WorcesterCounty!$A$4:$P$57,34, FALSE)</f>
        <v>0</v>
      </c>
      <c r="E23" s="23">
        <f>+HLOOKUP([59]INPUT_Date.Etc!$B$4,[59]CFG!$A$4:$P$57,34, FALSE)</f>
        <v>0</v>
      </c>
      <c r="F23" s="22">
        <f>+HLOOKUP([59]INPUT_Date.Etc!$B$4,[59]FPUNG!$A$4:$P$116,91, FALSE)</f>
        <v>10</v>
      </c>
      <c r="G23" s="22">
        <f>+HLOOKUP([59]INPUT_Date.Etc!$B$4,[59]Electric!$A$4:$P$45,27, FALSE)</f>
        <v>0</v>
      </c>
      <c r="H23" s="22">
        <v>0</v>
      </c>
      <c r="I23" s="23"/>
      <c r="J23" s="22">
        <f>+HLOOKUP([59]INPUT_Date.Etc!$B$4,[59]Delaware!$T$4:$AI$52,34, FALSE)</f>
        <v>5</v>
      </c>
      <c r="K23" s="22">
        <f>+HLOOKUP([59]INPUT_Date.Etc!$B$4,[59]Maryland!$T$4:$AI$52,34, FALSE)</f>
        <v>0</v>
      </c>
      <c r="L23" s="22">
        <f>+HLOOKUP([59]INPUT_Date.Etc!$B$4,[59]WorcesterCounty!$A$4:$P$57,34, FALSE)</f>
        <v>0</v>
      </c>
      <c r="M23" s="22">
        <f>+HLOOKUP([59]INPUT_Date.Etc!$B$4,[59]CFG!$T$4:$AI$52,34, FALSE)</f>
        <v>0</v>
      </c>
      <c r="N23" s="22">
        <f>+HLOOKUP([59]INPUT_Date.Etc!$B$4,[59]FPUNG!$A$4:$P$116,91, FALSE)</f>
        <v>10</v>
      </c>
      <c r="O23" s="22">
        <f>+HLOOKUP([59]INPUT_Date.Etc!$B$4,[59]Electric!$T$4:$AI$45,27,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+HLOOKUP([59]INPUT_Date.Etc!$B$4,[59]ESNG!$A$4:$P$72,41, FALSE)</f>
        <v>-3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+HLOOKUP([59]INPUT_Date.Etc!$B$4,[59]ESNG!$T$4:$AI$58,41, FALSE)</f>
        <v>-3</v>
      </c>
    </row>
    <row r="25" spans="1:16" ht="13.8" thickBot="1" x14ac:dyDescent="0.3">
      <c r="A25" s="26" t="s">
        <v>27</v>
      </c>
      <c r="B25" s="27">
        <f t="shared" ref="B25:H25" si="2">SUM(B19:B24)</f>
        <v>52205</v>
      </c>
      <c r="C25" s="27">
        <f t="shared" si="2"/>
        <v>12886</v>
      </c>
      <c r="D25" s="27">
        <f t="shared" si="2"/>
        <v>10605</v>
      </c>
      <c r="E25" s="27">
        <f t="shared" si="2"/>
        <v>17296</v>
      </c>
      <c r="F25" s="27">
        <f t="shared" si="2"/>
        <v>60552</v>
      </c>
      <c r="G25" s="27">
        <f t="shared" si="2"/>
        <v>32026</v>
      </c>
      <c r="H25" s="27">
        <f t="shared" si="2"/>
        <v>14.25</v>
      </c>
      <c r="I25" s="23"/>
      <c r="J25" s="27">
        <f t="shared" ref="J25:P25" si="3">SUM(J19:J24)</f>
        <v>49548</v>
      </c>
      <c r="K25" s="27">
        <f t="shared" si="3"/>
        <v>12901</v>
      </c>
      <c r="L25" s="27">
        <f>SUM(L19:L24)</f>
        <v>10605</v>
      </c>
      <c r="M25" s="27">
        <f t="shared" si="3"/>
        <v>16806</v>
      </c>
      <c r="N25" s="27">
        <f t="shared" si="3"/>
        <v>59332</v>
      </c>
      <c r="O25" s="27">
        <f t="shared" si="3"/>
        <v>31695</v>
      </c>
      <c r="P25" s="27">
        <f t="shared" si="3"/>
        <v>14.916666666666668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</row>
  </sheetData>
  <pageMargins left="0.45" right="0.4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32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L3" sqref="L3"/>
    </sheetView>
  </sheetViews>
  <sheetFormatPr defaultColWidth="9.109375" defaultRowHeight="13.2" x14ac:dyDescent="0.25"/>
  <cols>
    <col min="1" max="1" width="27.6640625" style="12" bestFit="1" customWidth="1"/>
    <col min="2" max="4" width="13.44140625" style="12" customWidth="1"/>
    <col min="5" max="5" width="13.44140625" style="31" customWidth="1"/>
    <col min="6" max="8" width="13.44140625" style="12" customWidth="1"/>
    <col min="9" max="9" width="3.6640625" style="10" customWidth="1"/>
    <col min="10" max="16" width="13.44140625" style="12" customWidth="1"/>
    <col min="17" max="16384" width="9.109375" style="12"/>
  </cols>
  <sheetData>
    <row r="1" spans="1:18" s="5" customFormat="1" ht="16.2" x14ac:dyDescent="0.4">
      <c r="A1" s="4"/>
      <c r="F1" s="6"/>
      <c r="G1" s="7" t="s">
        <v>6</v>
      </c>
      <c r="I1" s="8"/>
    </row>
    <row r="2" spans="1:18" s="5" customFormat="1" ht="16.2" x14ac:dyDescent="0.4">
      <c r="A2" s="4"/>
      <c r="B2" s="9"/>
      <c r="F2" s="32"/>
      <c r="G2" s="7" t="s">
        <v>7</v>
      </c>
      <c r="I2" s="8"/>
    </row>
    <row r="3" spans="1:18" ht="16.2" x14ac:dyDescent="0.4">
      <c r="A3" s="10"/>
      <c r="B3" s="10"/>
      <c r="C3" s="11"/>
      <c r="D3" s="11"/>
      <c r="E3" s="12"/>
      <c r="F3" s="33"/>
      <c r="G3" s="33" t="str">
        <f>+[60]INPUT_Date.Etc!B7</f>
        <v>For the Twelve Months ended December 31, 2018 and 2017</v>
      </c>
      <c r="H3" s="10"/>
      <c r="J3" s="13"/>
      <c r="K3" s="10"/>
      <c r="L3" s="10"/>
      <c r="M3" s="11"/>
      <c r="N3" s="10"/>
      <c r="O3" s="10"/>
      <c r="P3" s="10"/>
    </row>
    <row r="4" spans="1:18" ht="16.2" x14ac:dyDescent="0.4">
      <c r="A4" s="10"/>
      <c r="B4" s="10"/>
      <c r="C4" s="11"/>
      <c r="D4" s="11"/>
      <c r="E4" s="7"/>
      <c r="F4" s="7"/>
      <c r="G4" s="10"/>
      <c r="H4" s="10"/>
      <c r="J4" s="13"/>
      <c r="K4" s="10"/>
      <c r="L4" s="10"/>
      <c r="M4" s="11"/>
      <c r="N4" s="10"/>
      <c r="O4" s="10"/>
      <c r="P4" s="10"/>
    </row>
    <row r="5" spans="1:18" s="10" customFormat="1" x14ac:dyDescent="0.25">
      <c r="E5" s="14"/>
    </row>
    <row r="6" spans="1:18" s="10" customFormat="1" x14ac:dyDescent="0.25">
      <c r="C6" s="15"/>
      <c r="D6" s="15" t="str">
        <f>+VLOOKUP([60]INPUT_Date.Etc!$B$4,[60]INPUT_Date.Etc!$A$14:$P$25,[60]INPUT_Date.Etc!$I$12)</f>
        <v>Actual customers for the Month of December 2018</v>
      </c>
      <c r="E6" s="16"/>
      <c r="F6" s="17"/>
      <c r="K6" s="15" t="str">
        <f>+VLOOKUP([60]INPUT_Date.Etc!$B$4,[60]INPUT_Date.Etc!$A$14:$P$25,[60]INPUT_Date.Etc!$J$12)</f>
        <v>Actual customers for the Month of December 2017</v>
      </c>
      <c r="L6" s="15"/>
      <c r="M6" s="16"/>
      <c r="N6" s="17"/>
    </row>
    <row r="7" spans="1:18" ht="40.200000000000003" x14ac:dyDescent="0.3">
      <c r="A7" s="18"/>
      <c r="B7" s="19" t="s">
        <v>11</v>
      </c>
      <c r="C7" s="19" t="s">
        <v>12</v>
      </c>
      <c r="D7" s="19" t="s">
        <v>28</v>
      </c>
      <c r="E7" s="20" t="s">
        <v>13</v>
      </c>
      <c r="F7" s="19" t="s">
        <v>14</v>
      </c>
      <c r="G7" s="19" t="s">
        <v>15</v>
      </c>
      <c r="H7" s="19" t="s">
        <v>16</v>
      </c>
      <c r="I7" s="21"/>
      <c r="J7" s="19" t="s">
        <v>11</v>
      </c>
      <c r="K7" s="19" t="s">
        <v>12</v>
      </c>
      <c r="L7" s="19" t="s">
        <v>28</v>
      </c>
      <c r="M7" s="19" t="s">
        <v>13</v>
      </c>
      <c r="N7" s="19" t="s">
        <v>14</v>
      </c>
      <c r="O7" s="19" t="s">
        <v>15</v>
      </c>
      <c r="P7" s="19" t="s">
        <v>16</v>
      </c>
    </row>
    <row r="8" spans="1:18" x14ac:dyDescent="0.25">
      <c r="A8" s="12" t="s">
        <v>17</v>
      </c>
      <c r="B8" s="22">
        <f>+HLOOKUP([60]INPUT_Date.Etc!$B$4,[60]Delaware!$A$4:$P$57,2, FALSE)</f>
        <v>52231</v>
      </c>
      <c r="C8" s="22">
        <f>+HLOOKUP([60]INPUT_Date.Etc!$B$4,[60]Maryland!$A$4:$P$57,2, FALSE)</f>
        <v>11216</v>
      </c>
      <c r="D8" s="22">
        <f>+HLOOKUP([60]INPUT_Date.Etc!$B$4,[60]Sandpiper!$A$4:$P$57,2, FALSE)</f>
        <v>9672</v>
      </c>
      <c r="E8" s="22">
        <f>+HLOOKUP([60]INPUT_Date.Etc!$B$4,[60]CFG!$A$4:$P$57,2, FALSE)</f>
        <v>16822</v>
      </c>
      <c r="F8" s="22">
        <f>+HLOOKUP([60]INPUT_Date.Etc!$B$4,[60]FPUNG!$A$4:$P$116,2, FALSE)</f>
        <v>56414</v>
      </c>
      <c r="G8" s="22">
        <f>+HLOOKUP([60]INPUT_Date.Etc!$B$4,[60]Electric!$A$4:$P$45,2, FALSE)</f>
        <v>24571</v>
      </c>
      <c r="H8" s="22">
        <v>0</v>
      </c>
      <c r="I8" s="23"/>
      <c r="J8" s="22">
        <f>+HLOOKUP([60]INPUT_Date.Etc!$B$4,[60]Delaware!$T$4:$AI$52,2, FALSE)</f>
        <v>49714</v>
      </c>
      <c r="K8" s="22">
        <f>+HLOOKUP([60]INPUT_Date.Etc!$B$4,[60]Maryland!$T$4:$AI$52,2, FALSE)</f>
        <v>11157</v>
      </c>
      <c r="L8" s="22">
        <f>+HLOOKUP([60]INPUT_Date.Etc!$B$4,[60]Sandpiper!$T$4:$AI$52,2, FALSE)</f>
        <v>9599</v>
      </c>
      <c r="M8" s="22">
        <f>+HLOOKUP([60]INPUT_Date.Etc!$B$4,[60]CFG!$T$4:$AI$52,2, FALSE)</f>
        <v>16052</v>
      </c>
      <c r="N8" s="22">
        <f>+HLOOKUP([60]INPUT_Date.Etc!$B$4,[60]FPUNG!$T$4:$AI$116,2, FALSE)</f>
        <v>54901</v>
      </c>
      <c r="O8" s="22">
        <f>+HLOOKUP([60]INPUT_Date.Etc!$B$4,[60]Electric!$T$4:$AI$45,2, FALSE)</f>
        <v>24634</v>
      </c>
      <c r="P8" s="22">
        <v>0</v>
      </c>
    </row>
    <row r="9" spans="1:18" x14ac:dyDescent="0.25">
      <c r="A9" s="12" t="s">
        <v>18</v>
      </c>
      <c r="B9" s="22">
        <f>+HLOOKUP([60]INPUT_Date.Etc!$B$4,[60]Delaware!$A$4:$P$57,3, FALSE)</f>
        <v>4117</v>
      </c>
      <c r="C9" s="22">
        <f>+HLOOKUP([60]INPUT_Date.Etc!$B$4,[60]Maryland!$A$4:$P$57,3, FALSE)</f>
        <v>1891</v>
      </c>
      <c r="D9" s="22">
        <f>+HLOOKUP([60]INPUT_Date.Etc!$B$4,[60]Sandpiper!$A$4:$P$57,3, FALSE)</f>
        <v>1078</v>
      </c>
      <c r="E9" s="22">
        <f>+HLOOKUP([60]INPUT_Date.Etc!$B$4,[60]CFG!$A$4:$P$57,3, FALSE)</f>
        <v>1602</v>
      </c>
      <c r="F9" s="22">
        <f>+HLOOKUP([60]INPUT_Date.Etc!$B$4,[60]FPUNG!$A$4:$P$116,3, FALSE)</f>
        <v>3889</v>
      </c>
      <c r="G9" s="22">
        <f>+HLOOKUP([60]INPUT_Date.Etc!$B$4,[60]Electric!$A$4:$P$45,3, FALSE)</f>
        <v>7514</v>
      </c>
      <c r="H9" s="22">
        <f>+HLOOKUP([60]INPUT_Date.Etc!$B$4,[60]ESNG!$E$4:$P$11,3, FALSE)</f>
        <v>0</v>
      </c>
      <c r="I9" s="23"/>
      <c r="J9" s="22">
        <f>+HLOOKUP([60]INPUT_Date.Etc!$B$4,[60]Delaware!$T$4:$AI$52,3, FALSE)</f>
        <v>4022</v>
      </c>
      <c r="K9" s="22">
        <f>+HLOOKUP([60]INPUT_Date.Etc!$B$4,[60]Maryland!$T$4:$AI$52,3, FALSE)</f>
        <v>1887</v>
      </c>
      <c r="L9" s="22">
        <f>+HLOOKUP([60]INPUT_Date.Etc!$B$4,[60]Sandpiper!$T$4:$AI$52,3, FALSE)</f>
        <v>1038</v>
      </c>
      <c r="M9" s="22">
        <f>+HLOOKUP([60]INPUT_Date.Etc!$B$4,[60]CFG!$T$4:$AI$52,3, FALSE)</f>
        <v>1500</v>
      </c>
      <c r="N9" s="22">
        <f>+HLOOKUP([60]INPUT_Date.Etc!$B$4,[60]FPUNG!$T$4:$AI$116,3, FALSE)</f>
        <v>3963</v>
      </c>
      <c r="O9" s="22">
        <f>+HLOOKUP([60]INPUT_Date.Etc!$B$4,[60]Electric!$T$4:$AI$45,3, FALSE)</f>
        <v>7465</v>
      </c>
      <c r="P9" s="22">
        <v>0</v>
      </c>
    </row>
    <row r="10" spans="1:18" x14ac:dyDescent="0.25">
      <c r="A10" s="12" t="s">
        <v>19</v>
      </c>
      <c r="B10" s="22">
        <f>+HLOOKUP([60]INPUT_Date.Etc!$B$4,[60]Delaware!$A$4:$P$57,4, FALSE)</f>
        <v>93</v>
      </c>
      <c r="C10" s="22">
        <f>+HLOOKUP([60]INPUT_Date.Etc!$B$4,[60]Maryland!$A$4:$P$57,4, FALSE)</f>
        <v>44</v>
      </c>
      <c r="D10" s="22">
        <f>+HLOOKUP([60]INPUT_Date.Etc!$B$4,[60]Sandpiper!$A$4:$P$57,4, FALSE)</f>
        <v>24</v>
      </c>
      <c r="E10" s="22">
        <f>+HLOOKUP([60]INPUT_Date.Etc!$B$4,[60]CFG!$A$4:$P$57,4, FALSE)</f>
        <v>17</v>
      </c>
      <c r="F10" s="22">
        <f>+HLOOKUP([60]INPUT_Date.Etc!$B$4,[60]FPUNG!$A$4:$P$116,4, FALSE)</f>
        <v>2403</v>
      </c>
      <c r="G10" s="22">
        <f>+HLOOKUP([60]INPUT_Date.Etc!$B$4,[60]Electric!$A$4:$P$45,4, FALSE)</f>
        <v>2</v>
      </c>
      <c r="H10" s="22">
        <v>0</v>
      </c>
      <c r="I10" s="23"/>
      <c r="J10" s="22">
        <f>+HLOOKUP([60]INPUT_Date.Etc!$B$4,[60]Delaware!$T$4:$AI$52,4, FALSE)</f>
        <v>95</v>
      </c>
      <c r="K10" s="22">
        <f>+HLOOKUP([60]INPUT_Date.Etc!$B$4,[60]Maryland!$T$4:$AI$52,4, FALSE)</f>
        <v>44</v>
      </c>
      <c r="L10" s="22">
        <f>+HLOOKUP([60]INPUT_Date.Etc!$B$4,[60]Sandpiper!$T$4:$AI$52,4, FALSE)</f>
        <v>21</v>
      </c>
      <c r="M10" s="22">
        <f>+HLOOKUP([60]INPUT_Date.Etc!$B$4,[60]CFG!$T$4:$AI$52,4, FALSE)</f>
        <v>17</v>
      </c>
      <c r="N10" s="22">
        <f>+HLOOKUP([60]INPUT_Date.Etc!$B$4,[60]FPUNG!$T$4:$AI$116,4, FALSE)</f>
        <v>2207</v>
      </c>
      <c r="O10" s="22">
        <f>+HLOOKUP([60]INPUT_Date.Etc!$B$4,[60]Electric!$T$4:$AI$45,4, FALSE)</f>
        <v>2</v>
      </c>
      <c r="P10" s="22">
        <v>0</v>
      </c>
    </row>
    <row r="11" spans="1:18" x14ac:dyDescent="0.25">
      <c r="A11" s="12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f>+HLOOKUP([60]INPUT_Date.Etc!$B$4,[60]ESNG!$A$4:$P$72,4, FALSE)</f>
        <v>17</v>
      </c>
      <c r="I11" s="2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f>+HLOOKUP([60]INPUT_Date.Etc!$B$4,[60]ESNG!$T$4:$AI$58,4, FALSE)</f>
        <v>17</v>
      </c>
    </row>
    <row r="12" spans="1:18" x14ac:dyDescent="0.25">
      <c r="A12" s="10" t="s">
        <v>21</v>
      </c>
      <c r="B12" s="22">
        <f>+HLOOKUP([60]INPUT_Date.Etc!$B$4,[60]Delaware!$A$4:$P$57,5, FALSE)</f>
        <v>5</v>
      </c>
      <c r="C12" s="22">
        <f>+HLOOKUP([60]INPUT_Date.Etc!$B$4,[60]Maryland!$A$4:$P$57,5, FALSE)</f>
        <v>0</v>
      </c>
      <c r="D12" s="22">
        <f>+HLOOKUP([60]INPUT_Date.Etc!$B$4,[60]Sandpiper!$A$4:$P$57,5, FALSE)</f>
        <v>0</v>
      </c>
      <c r="E12" s="22">
        <f>+HLOOKUP([60]INPUT_Date.Etc!$B$4,[60]CFG!$A$4:$P$57,5, FALSE)</f>
        <v>0</v>
      </c>
      <c r="F12" s="22">
        <f>+HLOOKUP([60]INPUT_Date.Etc!$B$4,[60]FPUNG!$A$4:$P$116,5, FALSE)</f>
        <v>12</v>
      </c>
      <c r="G12" s="22">
        <f>+HLOOKUP([60]INPUT_Date.Etc!$B$4,[60]Electric!$A$4:$P$45,5, FALSE)</f>
        <v>0</v>
      </c>
      <c r="H12" s="22">
        <v>0</v>
      </c>
      <c r="I12" s="23"/>
      <c r="J12" s="22">
        <f>+HLOOKUP([60]INPUT_Date.Etc!$B$4,[60]Delaware!$T$4:$AI$52,5, FALSE)</f>
        <v>6</v>
      </c>
      <c r="K12" s="22">
        <f>+HLOOKUP([60]INPUT_Date.Etc!$B$4,[60]Maryland!$T$4:$AI$52,5, FALSE)</f>
        <v>0</v>
      </c>
      <c r="L12" s="22">
        <f>+HLOOKUP([60]INPUT_Date.Etc!$B$4,[60]Sandpiper!$A$4:$P$57,5, FALSE)</f>
        <v>0</v>
      </c>
      <c r="M12" s="22">
        <f>+HLOOKUP([60]INPUT_Date.Etc!$B$4,[60]CFG!$T$4:$AI$52,5, FALSE)</f>
        <v>0</v>
      </c>
      <c r="N12" s="22">
        <f>+HLOOKUP([60]INPUT_Date.Etc!$B$4,[60]FPUNG!$A$4:$P$116,5, FALSE)</f>
        <v>12</v>
      </c>
      <c r="O12" s="22">
        <f>+HLOOKUP([60]INPUT_Date.Etc!$B$4,[60]Electric!$T$4:$AI$45,5, FALSE)</f>
        <v>0</v>
      </c>
      <c r="P12" s="22">
        <v>0</v>
      </c>
      <c r="Q12" s="10"/>
      <c r="R12" s="10"/>
    </row>
    <row r="13" spans="1:18" x14ac:dyDescent="0.25">
      <c r="A13" s="10" t="s">
        <v>22</v>
      </c>
      <c r="B13" s="22">
        <f>+[60]Delaware!N10</f>
        <v>0</v>
      </c>
      <c r="C13" s="23">
        <v>0</v>
      </c>
      <c r="D13" s="23">
        <v>0</v>
      </c>
      <c r="E13" s="24">
        <v>0</v>
      </c>
      <c r="F13" s="24">
        <v>0</v>
      </c>
      <c r="G13" s="24">
        <v>0</v>
      </c>
      <c r="H13" s="22">
        <f>+HLOOKUP([60]INPUT_Date.Etc!$B$4,[60]ESNG!$A$4:$P$72,5, FALSE)</f>
        <v>-3</v>
      </c>
      <c r="I13" s="23"/>
      <c r="J13" s="22">
        <f>+[60]Delaware!V10</f>
        <v>0</v>
      </c>
      <c r="K13" s="22">
        <f>+[60]Maryland!W10</f>
        <v>0</v>
      </c>
      <c r="L13" s="22">
        <v>0</v>
      </c>
      <c r="M13" s="22">
        <f>+[60]CFG!Y10</f>
        <v>0</v>
      </c>
      <c r="N13" s="24">
        <v>0</v>
      </c>
      <c r="O13" s="22">
        <v>0</v>
      </c>
      <c r="P13" s="22">
        <f>+HLOOKUP([60]INPUT_Date.Etc!$B$4,[60]ESNG!$T$4:$AI$58,5, FALSE)</f>
        <v>-3</v>
      </c>
    </row>
    <row r="14" spans="1:18" ht="13.8" thickBot="1" x14ac:dyDescent="0.3">
      <c r="A14" s="26" t="s">
        <v>23</v>
      </c>
      <c r="B14" s="27">
        <f t="shared" ref="B14:H14" si="0">SUM(B8:B13)</f>
        <v>56446</v>
      </c>
      <c r="C14" s="27">
        <f t="shared" si="0"/>
        <v>13151</v>
      </c>
      <c r="D14" s="27">
        <f t="shared" si="0"/>
        <v>10774</v>
      </c>
      <c r="E14" s="27">
        <f t="shared" si="0"/>
        <v>18441</v>
      </c>
      <c r="F14" s="27">
        <f t="shared" si="0"/>
        <v>62718</v>
      </c>
      <c r="G14" s="27">
        <f t="shared" si="0"/>
        <v>32087</v>
      </c>
      <c r="H14" s="27">
        <f t="shared" si="0"/>
        <v>14</v>
      </c>
      <c r="I14" s="23"/>
      <c r="J14" s="27">
        <f t="shared" ref="J14:P14" si="1">SUM(J8:J13)</f>
        <v>53837</v>
      </c>
      <c r="K14" s="27">
        <f t="shared" si="1"/>
        <v>13088</v>
      </c>
      <c r="L14" s="27">
        <f>SUM(L8:L13)</f>
        <v>10658</v>
      </c>
      <c r="M14" s="27">
        <f t="shared" si="1"/>
        <v>17569</v>
      </c>
      <c r="N14" s="27">
        <f t="shared" si="1"/>
        <v>61083</v>
      </c>
      <c r="O14" s="27">
        <f t="shared" si="1"/>
        <v>32101</v>
      </c>
      <c r="P14" s="27">
        <f t="shared" si="1"/>
        <v>14</v>
      </c>
    </row>
    <row r="15" spans="1:18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14"/>
      <c r="B17" s="23"/>
      <c r="C17" s="15"/>
      <c r="D17" s="15" t="str">
        <f>+VLOOKUP([60]INPUT_Date.Etc!$B$4,[60]INPUT_Date.Etc!$A$14:$P$25,[60]INPUT_Date.Etc!$K$12)</f>
        <v>Average customers for the Twelve Months ended December 31, 2018</v>
      </c>
      <c r="E17" s="28"/>
      <c r="F17" s="28"/>
      <c r="G17" s="28"/>
      <c r="H17" s="23"/>
      <c r="I17" s="23"/>
      <c r="J17" s="23"/>
      <c r="K17" s="15" t="str">
        <f>+VLOOKUP([60]INPUT_Date.Etc!$B$4,[60]INPUT_Date.Etc!$A$14:$P$25,[60]INPUT_Date.Etc!$L$12)</f>
        <v>Average customers for the Twelve Months ended December 31, 2017</v>
      </c>
      <c r="L17" s="15" t="str">
        <f>+VLOOKUP([60]INPUT_Date.Etc!$B$4,[60]INPUT_Date.Etc!$A$14:$P$25,[60]INPUT_Date.Etc!$K$12)</f>
        <v>Average customers for the Twelve Months ended December 31, 2018</v>
      </c>
      <c r="M17" s="28"/>
      <c r="N17" s="28"/>
      <c r="O17" s="28"/>
      <c r="P17" s="23"/>
    </row>
    <row r="18" spans="1:16" ht="40.200000000000003" x14ac:dyDescent="0.3">
      <c r="A18" s="18"/>
      <c r="B18" s="19" t="s">
        <v>11</v>
      </c>
      <c r="C18" s="19" t="s">
        <v>12</v>
      </c>
      <c r="D18" s="19" t="s">
        <v>28</v>
      </c>
      <c r="E18" s="20" t="s">
        <v>13</v>
      </c>
      <c r="F18" s="19" t="s">
        <v>14</v>
      </c>
      <c r="G18" s="19" t="s">
        <v>15</v>
      </c>
      <c r="H18" s="19" t="s">
        <v>16</v>
      </c>
      <c r="I18" s="21"/>
      <c r="J18" s="19" t="s">
        <v>11</v>
      </c>
      <c r="K18" s="19" t="s">
        <v>12</v>
      </c>
      <c r="L18" s="19" t="s">
        <v>28</v>
      </c>
      <c r="M18" s="19" t="s">
        <v>13</v>
      </c>
      <c r="N18" s="19" t="s">
        <v>14</v>
      </c>
      <c r="O18" s="19" t="s">
        <v>15</v>
      </c>
      <c r="P18" s="19" t="s">
        <v>16</v>
      </c>
    </row>
    <row r="19" spans="1:16" x14ac:dyDescent="0.25">
      <c r="A19" s="12" t="s">
        <v>17</v>
      </c>
      <c r="B19" s="23">
        <f>+HLOOKUP([60]INPUT_Date.Etc!$B$4,[60]Delaware!$A$4:$P$57,31, FALSE)</f>
        <v>50675</v>
      </c>
      <c r="C19" s="23">
        <f>+HLOOKUP([60]INPUT_Date.Etc!$B$4,[60]Maryland!$A$4:$P$57,31, FALSE)</f>
        <v>11032</v>
      </c>
      <c r="D19" s="23">
        <f>+HLOOKUP([60]INPUT_Date.Etc!$B$4,[60]Sandpiper!$A$4:$P$57,31, FALSE)</f>
        <v>9615</v>
      </c>
      <c r="E19" s="23">
        <f>+HLOOKUP([60]INPUT_Date.Etc!$B$4,[60]CFG!$A$4:$P$57,31, FALSE)</f>
        <v>16450</v>
      </c>
      <c r="F19" s="22">
        <f>+HLOOKUP([60]INPUT_Date.Etc!$B$4,[60]FPUNG!$A$4:$P$116,88, FALSE)</f>
        <v>55701</v>
      </c>
      <c r="G19" s="22">
        <f>+HLOOKUP([60]INPUT_Date.Etc!$B$4,[60]Electric!$A$4:$P$45,24, FALSE)</f>
        <v>24686</v>
      </c>
      <c r="H19" s="22">
        <v>0</v>
      </c>
      <c r="I19" s="23"/>
      <c r="J19" s="22">
        <f>+HLOOKUP([60]INPUT_Date.Etc!$B$4,[60]Delaware!$T$4:$AI$52,31, FALSE)</f>
        <v>48171</v>
      </c>
      <c r="K19" s="22">
        <f>+HLOOKUP([60]INPUT_Date.Etc!$B$4,[60]Maryland!$T$4:$AI$52,31, FALSE)</f>
        <v>11000</v>
      </c>
      <c r="L19" s="22">
        <f>+HLOOKUP([60]INPUT_Date.Etc!$B$4,[60]Sandpiper!$A$4:$P$57,31, FALSE)</f>
        <v>9615</v>
      </c>
      <c r="M19" s="22">
        <f>+HLOOKUP([60]INPUT_Date.Etc!$B$4,[60]CFG!$T$4:$AI$52,31, FALSE)</f>
        <v>15796</v>
      </c>
      <c r="N19" s="22">
        <f>+HLOOKUP([60]INPUT_Date.Etc!$B$4,[60]FPUNG!$T$4:$AI$116,88, FALSE)</f>
        <v>54410</v>
      </c>
      <c r="O19" s="22">
        <f>+HLOOKUP([60]INPUT_Date.Etc!$B$4,[60]Electric!$T$4:$AI$45,24, FALSE)</f>
        <v>24574</v>
      </c>
      <c r="P19" s="22">
        <v>0</v>
      </c>
    </row>
    <row r="20" spans="1:16" x14ac:dyDescent="0.25">
      <c r="A20" s="12" t="s">
        <v>18</v>
      </c>
      <c r="B20" s="23">
        <f>+HLOOKUP([60]INPUT_Date.Etc!$B$4,[60]Delaware!$A$4:$P$57,32, FALSE)</f>
        <v>4030</v>
      </c>
      <c r="C20" s="23">
        <f>+HLOOKUP([60]INPUT_Date.Etc!$B$4,[60]Maryland!$A$4:$P$57,32, FALSE)</f>
        <v>1874</v>
      </c>
      <c r="D20" s="23">
        <f>+HLOOKUP([60]INPUT_Date.Etc!$B$4,[60]Sandpiper!$A$4:$P$57,32, FALSE)</f>
        <v>1075</v>
      </c>
      <c r="E20" s="23">
        <f>+HLOOKUP([60]INPUT_Date.Etc!$B$4,[60]CFG!$A$4:$P$57,32, FALSE)</f>
        <v>1519</v>
      </c>
      <c r="F20" s="22">
        <f>+HLOOKUP([60]INPUT_Date.Etc!$B$4,[60]FPUNG!$A$4:$P$116,89, FALSE)</f>
        <v>3915</v>
      </c>
      <c r="G20" s="22">
        <f>+HLOOKUP([60]INPUT_Date.Etc!$B$4,[60]Electric!$A$4:$P$45,25, FALSE)</f>
        <v>7497</v>
      </c>
      <c r="H20" s="22">
        <f>+HLOOKUP([60]INPUT_Date.Etc!$B$4,[60]ESNG!$E$4:$P$11,3, FALSE)</f>
        <v>0</v>
      </c>
      <c r="I20" s="23"/>
      <c r="J20" s="22">
        <f>+HLOOKUP([60]INPUT_Date.Etc!$B$4,[60]Delaware!$T$4:$AI$52,32, FALSE)</f>
        <v>3941</v>
      </c>
      <c r="K20" s="22">
        <f>+HLOOKUP([60]INPUT_Date.Etc!$B$4,[60]Maryland!$T$4:$AI$52,32, FALSE)</f>
        <v>1845</v>
      </c>
      <c r="L20" s="22">
        <f>+HLOOKUP([60]INPUT_Date.Etc!$B$4,[60]Sandpiper!$A$4:$P$57,32, FALSE)</f>
        <v>1075</v>
      </c>
      <c r="M20" s="22">
        <f>+HLOOKUP([60]INPUT_Date.Etc!$B$4,[60]CFG!$T$4:$AI$52,32, FALSE)</f>
        <v>1485</v>
      </c>
      <c r="N20" s="22">
        <f>+HLOOKUP([60]INPUT_Date.Etc!$B$4,[60]FPUNG!$T$4:$AI$116,89, FALSE)</f>
        <v>4054</v>
      </c>
      <c r="O20" s="22">
        <f>+HLOOKUP([60]INPUT_Date.Etc!$B$4,[60]Electric!$T$4:$AI$45,25, FALSE)</f>
        <v>7450</v>
      </c>
      <c r="P20" s="22">
        <v>0</v>
      </c>
    </row>
    <row r="21" spans="1:16" x14ac:dyDescent="0.25">
      <c r="A21" s="12" t="s">
        <v>26</v>
      </c>
      <c r="B21" s="23">
        <f>+HLOOKUP([60]INPUT_Date.Etc!$B$4,[60]Delaware!$A$4:$P$57,33, FALSE)</f>
        <v>91</v>
      </c>
      <c r="C21" s="23">
        <f>+HLOOKUP([60]INPUT_Date.Etc!$B$4,[60]Maryland!$A$4:$P$57,33, FALSE)</f>
        <v>44</v>
      </c>
      <c r="D21" s="23">
        <f>+HLOOKUP([60]INPUT_Date.Etc!$B$4,[60]Sandpiper!$A$4:$P$57,33, FALSE)</f>
        <v>22</v>
      </c>
      <c r="E21" s="23">
        <f>+HLOOKUP([60]INPUT_Date.Etc!$B$4,[60]CFG!$A$4:$P$57,33, FALSE)</f>
        <v>16</v>
      </c>
      <c r="F21" s="22">
        <f>+HLOOKUP([60]INPUT_Date.Etc!$B$4,[60]FPUNG!$A$4:$P$116,90, FALSE)</f>
        <v>2312</v>
      </c>
      <c r="G21" s="22">
        <f>+HLOOKUP([60]INPUT_Date.Etc!$B$4,[60]Electric!$A$4:$P$45,26, FALSE)</f>
        <v>2</v>
      </c>
      <c r="H21" s="22">
        <v>0</v>
      </c>
      <c r="I21" s="23"/>
      <c r="J21" s="22">
        <f>+HLOOKUP([60]INPUT_Date.Etc!$B$4,[60]Delaware!$T$4:$AI$52,33, FALSE)</f>
        <v>88</v>
      </c>
      <c r="K21" s="22">
        <f>+HLOOKUP([60]INPUT_Date.Etc!$B$4,[60]Maryland!$T$4:$AI$52,33, FALSE)</f>
        <v>41</v>
      </c>
      <c r="L21" s="22">
        <f>+HLOOKUP([60]INPUT_Date.Etc!$B$4,[60]Sandpiper!$A$4:$P$57,33, FALSE)</f>
        <v>22</v>
      </c>
      <c r="M21" s="22">
        <f>+HLOOKUP([60]INPUT_Date.Etc!$B$4,[60]CFG!$T$4:$AI$52,33, FALSE)</f>
        <v>15</v>
      </c>
      <c r="N21" s="22">
        <f>+HLOOKUP([60]INPUT_Date.Etc!$B$4,[60]FPUNG!$T$4:$AI$116,90, FALSE)</f>
        <v>2078</v>
      </c>
      <c r="O21" s="22">
        <f>+HLOOKUP([60]INPUT_Date.Etc!$B$4,[60]Electric!$T$4:$AI$45,26, FALSE)</f>
        <v>2</v>
      </c>
      <c r="P21" s="22">
        <v>0</v>
      </c>
    </row>
    <row r="22" spans="1:16" x14ac:dyDescent="0.25">
      <c r="A22" s="12" t="s">
        <v>20</v>
      </c>
      <c r="B22" s="23">
        <v>0</v>
      </c>
      <c r="C22" s="23">
        <v>0</v>
      </c>
      <c r="D22" s="23">
        <v>0</v>
      </c>
      <c r="E22" s="23">
        <v>0</v>
      </c>
      <c r="F22" s="22">
        <v>0</v>
      </c>
      <c r="G22" s="22">
        <v>0</v>
      </c>
      <c r="H22" s="22">
        <f>+HLOOKUP([60]INPUT_Date.Etc!$B$4,[60]ESNG!$A$4:$P$72,40, FALSE)</f>
        <v>17</v>
      </c>
      <c r="I22" s="23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>+HLOOKUP([60]INPUT_Date.Etc!$B$4,[60]ESNG!$T$4:$AI$58,40, FALSE)</f>
        <v>17.25</v>
      </c>
    </row>
    <row r="23" spans="1:16" s="10" customFormat="1" x14ac:dyDescent="0.25">
      <c r="A23" s="10" t="s">
        <v>21</v>
      </c>
      <c r="B23" s="23">
        <f>+HLOOKUP([60]INPUT_Date.Etc!$B$4,[60]Delaware!$A$4:$P$57,34, FALSE)</f>
        <v>5</v>
      </c>
      <c r="C23" s="23">
        <f>+HLOOKUP([60]INPUT_Date.Etc!$B$4,[60]Maryland!$A$4:$P$57,34, FALSE)</f>
        <v>0</v>
      </c>
      <c r="D23" s="23">
        <f>+HLOOKUP([60]INPUT_Date.Etc!$B$4,[60]Sandpiper!$A$4:$P$57,34, FALSE)</f>
        <v>0</v>
      </c>
      <c r="E23" s="23">
        <f>+HLOOKUP([60]INPUT_Date.Etc!$B$4,[60]CFG!$A$4:$P$57,34, FALSE)</f>
        <v>0</v>
      </c>
      <c r="F23" s="22">
        <f>+HLOOKUP([60]INPUT_Date.Etc!$B$4,[60]FPUNG!$A$4:$P$116,91, FALSE)</f>
        <v>11</v>
      </c>
      <c r="G23" s="22">
        <f>+HLOOKUP([60]INPUT_Date.Etc!$B$4,[60]Electric!$A$4:$P$45,27, FALSE)</f>
        <v>0</v>
      </c>
      <c r="H23" s="22">
        <v>0</v>
      </c>
      <c r="I23" s="23"/>
      <c r="J23" s="22">
        <f>+HLOOKUP([60]INPUT_Date.Etc!$B$4,[60]Delaware!$T$4:$AI$52,34, FALSE)</f>
        <v>5</v>
      </c>
      <c r="K23" s="22">
        <f>+HLOOKUP([60]INPUT_Date.Etc!$B$4,[60]Maryland!$T$4:$AI$52,34, FALSE)</f>
        <v>0</v>
      </c>
      <c r="L23" s="22">
        <f>+HLOOKUP([60]INPUT_Date.Etc!$B$4,[60]Sandpiper!$A$4:$P$57,34, FALSE)</f>
        <v>0</v>
      </c>
      <c r="M23" s="22">
        <f>+HLOOKUP([60]INPUT_Date.Etc!$B$4,[60]CFG!$T$4:$AI$52,34, FALSE)</f>
        <v>0</v>
      </c>
      <c r="N23" s="22">
        <f>+HLOOKUP([60]INPUT_Date.Etc!$B$4,[60]FPUNG!$A$4:$P$116,91, FALSE)</f>
        <v>11</v>
      </c>
      <c r="O23" s="22">
        <f>+HLOOKUP([60]INPUT_Date.Etc!$B$4,[60]Electric!$T$4:$AI$45,27, FALSE)</f>
        <v>0</v>
      </c>
      <c r="P23" s="22">
        <v>0</v>
      </c>
    </row>
    <row r="24" spans="1:16" x14ac:dyDescent="0.25">
      <c r="A24" s="10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24">
        <v>0</v>
      </c>
      <c r="H24" s="22">
        <f>+HLOOKUP([60]INPUT_Date.Etc!$B$4,[60]ESNG!$A$4:$P$72,41, FALSE)</f>
        <v>-3</v>
      </c>
      <c r="I24" s="23"/>
      <c r="J24" s="22">
        <v>0</v>
      </c>
      <c r="K24" s="22">
        <v>0</v>
      </c>
      <c r="L24" s="22">
        <v>0</v>
      </c>
      <c r="M24" s="22">
        <v>0</v>
      </c>
      <c r="N24" s="24">
        <v>0</v>
      </c>
      <c r="O24" s="22">
        <v>0</v>
      </c>
      <c r="P24" s="22">
        <f>+HLOOKUP([60]INPUT_Date.Etc!$B$4,[60]ESNG!$T$4:$AI$58,41, FALSE)</f>
        <v>-3</v>
      </c>
    </row>
    <row r="25" spans="1:16" ht="13.8" thickBot="1" x14ac:dyDescent="0.3">
      <c r="A25" s="26" t="s">
        <v>27</v>
      </c>
      <c r="B25" s="27">
        <f t="shared" ref="B25:H25" si="2">SUM(B19:B24)</f>
        <v>54801</v>
      </c>
      <c r="C25" s="27">
        <f t="shared" si="2"/>
        <v>12950</v>
      </c>
      <c r="D25" s="27">
        <f t="shared" si="2"/>
        <v>10712</v>
      </c>
      <c r="E25" s="27">
        <f t="shared" si="2"/>
        <v>17985</v>
      </c>
      <c r="F25" s="27">
        <f t="shared" si="2"/>
        <v>61939</v>
      </c>
      <c r="G25" s="27">
        <f t="shared" si="2"/>
        <v>32185</v>
      </c>
      <c r="H25" s="27">
        <f t="shared" si="2"/>
        <v>14</v>
      </c>
      <c r="I25" s="23"/>
      <c r="J25" s="27">
        <f t="shared" ref="J25:P25" si="3">SUM(J19:J24)</f>
        <v>52205</v>
      </c>
      <c r="K25" s="27">
        <f t="shared" si="3"/>
        <v>12886</v>
      </c>
      <c r="L25" s="27">
        <f>SUM(L19:L24)</f>
        <v>10712</v>
      </c>
      <c r="M25" s="27">
        <f t="shared" si="3"/>
        <v>17296</v>
      </c>
      <c r="N25" s="27">
        <f t="shared" si="3"/>
        <v>60553</v>
      </c>
      <c r="O25" s="27">
        <f t="shared" si="3"/>
        <v>32026</v>
      </c>
      <c r="P25" s="27">
        <f t="shared" si="3"/>
        <v>14.25</v>
      </c>
    </row>
    <row r="26" spans="1:16" x14ac:dyDescent="0.25">
      <c r="B26" s="22"/>
      <c r="C26" s="22"/>
      <c r="D26" s="22"/>
      <c r="E26" s="29"/>
      <c r="F26" s="22"/>
      <c r="G26" s="22"/>
      <c r="H26" s="22"/>
      <c r="I26" s="23"/>
      <c r="J26" s="22"/>
      <c r="K26" s="22"/>
      <c r="L26" s="22"/>
      <c r="M26" s="22"/>
      <c r="N26" s="22"/>
      <c r="O26" s="22"/>
      <c r="P26" s="22"/>
    </row>
    <row r="30" spans="1:16" ht="13.8" x14ac:dyDescent="0.3">
      <c r="A30" s="30"/>
    </row>
    <row r="31" spans="1:16" ht="13.8" x14ac:dyDescent="0.3">
      <c r="A31" s="30"/>
    </row>
    <row r="32" spans="1:16" x14ac:dyDescent="0.25">
      <c r="A32" s="10"/>
    </row>
  </sheetData>
  <sheetProtection algorithmName="SHA-512" hashValue="lLl2Oi7xjYNbRFo+6ImT5s0VQv+OvJ3qp49lQiuNEhCewcwtGXWpSZS13o+vyAQZ86lYXownWggES4nXPRrY1g==" saltValue="I8WS8xp5z7H6AzFrCqlCCw==" spinCount="100000" sheet="1" objects="1" scenarios="1"/>
  <pageMargins left="0.45" right="0.45" top="0.75" bottom="0.75" header="0.3" footer="0.3"/>
  <pageSetup scale="57" orientation="landscape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 A C T I V E ! 1 5 6 7 6 8 8 1 . 1 < / d o c u m e n t i d >  
     < s e n d e r i d > K E A B E T < / s e n d e r i d >  
     < s e n d e r e m a i l > B K E A T I N G @ G U N S T E R . C O M < / s e n d e r e m a i l >  
     < l a s t m o d i f i e d > 2 0 2 2 - 0 5 - 1 0 T 1 7 : 1 1 : 5 3 . 0 0 0 0 0 0 0 - 0 4 : 0 0 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Customer Growth</vt:lpstr>
      <vt:lpstr>Cust_2011</vt:lpstr>
      <vt:lpstr>Cust_2012</vt:lpstr>
      <vt:lpstr>Cust_2013</vt:lpstr>
      <vt:lpstr>Cust_2014</vt:lpstr>
      <vt:lpstr>Cust_2015</vt:lpstr>
      <vt:lpstr>Cust_2016</vt:lpstr>
      <vt:lpstr>Cust_2017</vt:lpstr>
      <vt:lpstr>Cust_2018</vt:lpstr>
      <vt:lpstr>Cust_2019</vt:lpstr>
      <vt:lpstr>Cust_2020</vt:lpstr>
      <vt:lpstr>Cust_2021</vt:lpstr>
      <vt:lpstr>Gas Consumption Comparison</vt:lpstr>
      <vt:lpstr>Contents</vt:lpstr>
      <vt:lpstr>EIA NG Consumption Data</vt:lpstr>
      <vt:lpstr>Vol_2011</vt:lpstr>
      <vt:lpstr>Vol_2012</vt:lpstr>
      <vt:lpstr>Vol_2013</vt:lpstr>
      <vt:lpstr>Vol_2014</vt:lpstr>
      <vt:lpstr>Vol_2015</vt:lpstr>
      <vt:lpstr>Vol_2016</vt:lpstr>
      <vt:lpstr>Vol_2017</vt:lpstr>
      <vt:lpstr>Vol_2018</vt:lpstr>
      <vt:lpstr>Vol_2019</vt:lpstr>
      <vt:lpstr>Vol_2020</vt:lpstr>
      <vt:lpstr>Vol_2021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Lake, Kira</dc:creator>
  <cp:lastModifiedBy>Lake, Kira</cp:lastModifiedBy>
  <dcterms:created xsi:type="dcterms:W3CDTF">2022-04-27T07:58:19Z</dcterms:created>
  <dcterms:modified xsi:type="dcterms:W3CDTF">2022-05-10T21:11:53Z</dcterms:modified>
</cp:coreProperties>
</file>